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A 2- Applications Received\North Berwick Area\ELC130718DT - North Berwick Community Development Company - Lime Grove\Application &amp; Supporting Documentation\"/>
    </mc:Choice>
  </mc:AlternateContent>
  <workbookProtection workbookPassword="AE15" lockStructure="1"/>
  <bookViews>
    <workbookView xWindow="0" yWindow="0" windowWidth="21600" windowHeight="9510" tabRatio="864"/>
  </bookViews>
  <sheets>
    <sheet name="Inc-Exp Summary" sheetId="1" r:id="rId1"/>
    <sheet name="YE 2019" sheetId="2" r:id="rId2"/>
    <sheet name="YE 2020" sheetId="3" r:id="rId3"/>
    <sheet name="YE 2021" sheetId="4" r:id="rId4"/>
    <sheet name="YE 2022" sheetId="5" r:id="rId5"/>
    <sheet name="YE 2023" sheetId="6" r:id="rId6"/>
    <sheet name="YE 2024" sheetId="17" r:id="rId7"/>
    <sheet name="YE 2025" sheetId="18" r:id="rId8"/>
    <sheet name="YE 2026" sheetId="19" r:id="rId9"/>
    <sheet name="YE 2027" sheetId="20" r:id="rId10"/>
    <sheet name="YE 2028" sheetId="21" r:id="rId11"/>
    <sheet name="Staffing" sheetId="7" r:id="rId12"/>
    <sheet name="Rev. Costs" sheetId="8" r:id="rId13"/>
    <sheet name="Cafe" sheetId="11" r:id="rId14"/>
    <sheet name="Theatre" sheetId="13" r:id="rId15"/>
    <sheet name="Soft Play" sheetId="15" r:id="rId16"/>
    <sheet name="Bunkhouse" sheetId="14" r:id="rId17"/>
    <sheet name="Recharging Income" sheetId="9" r:id="rId18"/>
    <sheet name="Grants" sheetId="10" r:id="rId19"/>
    <sheet name="Capital Costs" sheetId="23" r:id="rId20"/>
    <sheet name="Set-Up Costs" sheetId="22" r:id="rId21"/>
  </sheets>
  <calcPr calcId="171027"/>
</workbook>
</file>

<file path=xl/calcChain.xml><?xml version="1.0" encoding="utf-8"?>
<calcChain xmlns="http://schemas.openxmlformats.org/spreadsheetml/2006/main">
  <c r="D30" i="1" l="1"/>
  <c r="C30" i="1"/>
  <c r="B30" i="1"/>
  <c r="D23" i="23"/>
  <c r="D19" i="4"/>
  <c r="M20" i="2"/>
  <c r="L20" i="2"/>
  <c r="K20" i="2"/>
  <c r="M20" i="3"/>
  <c r="L20" i="3"/>
  <c r="K20" i="3"/>
  <c r="J20" i="3"/>
  <c r="I20" i="3"/>
  <c r="H20" i="3"/>
  <c r="G20" i="3"/>
  <c r="F20" i="3"/>
  <c r="E20" i="3"/>
  <c r="D20" i="3"/>
  <c r="C20" i="3"/>
  <c r="B20" i="3"/>
  <c r="C19" i="4"/>
  <c r="B19" i="4"/>
  <c r="D5" i="4"/>
  <c r="C5" i="4"/>
  <c r="B5" i="4"/>
  <c r="M5" i="3"/>
  <c r="L5" i="3"/>
  <c r="K5" i="3"/>
  <c r="J5" i="3"/>
  <c r="I5" i="3"/>
  <c r="H5" i="3"/>
  <c r="G5" i="3"/>
  <c r="F5" i="3"/>
  <c r="E5" i="3"/>
  <c r="D5" i="3"/>
  <c r="C5" i="3"/>
  <c r="B5" i="3"/>
  <c r="M5" i="2"/>
  <c r="L5" i="2"/>
  <c r="K5" i="2"/>
  <c r="D4" i="10"/>
  <c r="C4" i="10"/>
  <c r="B4" i="10"/>
  <c r="M15" i="21"/>
  <c r="L15" i="21"/>
  <c r="K15" i="21"/>
  <c r="J15" i="21"/>
  <c r="I15" i="21"/>
  <c r="H15" i="21"/>
  <c r="G15" i="21"/>
  <c r="F15" i="21"/>
  <c r="E15" i="21"/>
  <c r="D15" i="21"/>
  <c r="C15" i="21"/>
  <c r="B15" i="21"/>
  <c r="M15" i="20"/>
  <c r="L15" i="20"/>
  <c r="K15" i="20"/>
  <c r="J15" i="20"/>
  <c r="I15" i="20"/>
  <c r="H15" i="20"/>
  <c r="G15" i="20"/>
  <c r="F15" i="20"/>
  <c r="E15" i="20"/>
  <c r="D15" i="20"/>
  <c r="C15" i="20"/>
  <c r="B15" i="20"/>
  <c r="M15" i="19"/>
  <c r="L15" i="19"/>
  <c r="K15" i="19"/>
  <c r="J15" i="19"/>
  <c r="I15" i="19"/>
  <c r="H15" i="19"/>
  <c r="G15" i="19"/>
  <c r="F15" i="19"/>
  <c r="E15" i="19"/>
  <c r="D15" i="19"/>
  <c r="C15" i="19"/>
  <c r="B15" i="19"/>
  <c r="M15" i="18"/>
  <c r="L15" i="18"/>
  <c r="K15" i="18"/>
  <c r="J15" i="18"/>
  <c r="I15" i="18"/>
  <c r="H15" i="18"/>
  <c r="G15" i="18"/>
  <c r="F15" i="18"/>
  <c r="E15" i="18"/>
  <c r="D15" i="18"/>
  <c r="C15" i="18"/>
  <c r="B15" i="18"/>
  <c r="M15" i="17"/>
  <c r="L15" i="17"/>
  <c r="K15" i="17"/>
  <c r="J15" i="17"/>
  <c r="I15" i="17"/>
  <c r="H15" i="17"/>
  <c r="G15" i="17"/>
  <c r="F15" i="17"/>
  <c r="E15" i="17"/>
  <c r="D15" i="17"/>
  <c r="C15" i="17"/>
  <c r="B15" i="17"/>
  <c r="M15" i="6"/>
  <c r="L15" i="6"/>
  <c r="K15" i="6"/>
  <c r="J15" i="6"/>
  <c r="I15" i="6"/>
  <c r="H15" i="6"/>
  <c r="G15" i="6"/>
  <c r="F15" i="6"/>
  <c r="E15" i="6"/>
  <c r="D15" i="6"/>
  <c r="C15" i="6"/>
  <c r="B15" i="6"/>
  <c r="M15" i="5"/>
  <c r="L15" i="5"/>
  <c r="K15" i="5"/>
  <c r="J15" i="5"/>
  <c r="I15" i="5"/>
  <c r="H15" i="5"/>
  <c r="G15" i="5"/>
  <c r="F15" i="5"/>
  <c r="E15" i="5"/>
  <c r="D15" i="5"/>
  <c r="C15" i="5"/>
  <c r="B15" i="5"/>
  <c r="M14" i="21"/>
  <c r="L14" i="21"/>
  <c r="K14" i="21"/>
  <c r="J14" i="21"/>
  <c r="I14" i="21"/>
  <c r="H14" i="21"/>
  <c r="G14" i="21"/>
  <c r="F14" i="21"/>
  <c r="E14" i="21"/>
  <c r="D14" i="21"/>
  <c r="C14" i="21"/>
  <c r="B14" i="21"/>
  <c r="M14" i="20"/>
  <c r="L14" i="20"/>
  <c r="K14" i="20"/>
  <c r="J14" i="20"/>
  <c r="I14" i="20"/>
  <c r="H14" i="20"/>
  <c r="G14" i="20"/>
  <c r="F14" i="20"/>
  <c r="E14" i="20"/>
  <c r="D14" i="20"/>
  <c r="C14" i="20"/>
  <c r="B14" i="20"/>
  <c r="M14" i="19"/>
  <c r="L14" i="19"/>
  <c r="K14" i="19"/>
  <c r="J14" i="19"/>
  <c r="I14" i="19"/>
  <c r="H14" i="19"/>
  <c r="G14" i="19"/>
  <c r="F14" i="19"/>
  <c r="E14" i="19"/>
  <c r="D14" i="19"/>
  <c r="C14" i="19"/>
  <c r="B14" i="19"/>
  <c r="M14" i="18"/>
  <c r="L14" i="18"/>
  <c r="K14" i="18"/>
  <c r="J14" i="18"/>
  <c r="I14" i="18"/>
  <c r="H14" i="18"/>
  <c r="G14" i="18"/>
  <c r="F14" i="18"/>
  <c r="E14" i="18"/>
  <c r="D14" i="18"/>
  <c r="C14" i="18"/>
  <c r="B14" i="18"/>
  <c r="M14" i="17"/>
  <c r="L14" i="17"/>
  <c r="K14" i="17"/>
  <c r="J14" i="17"/>
  <c r="I14" i="17"/>
  <c r="H14" i="17"/>
  <c r="G14" i="17"/>
  <c r="F14" i="17"/>
  <c r="E14" i="17"/>
  <c r="D14" i="17"/>
  <c r="C14" i="17"/>
  <c r="B14" i="17"/>
  <c r="M14" i="6"/>
  <c r="L14" i="6"/>
  <c r="K14" i="6"/>
  <c r="J14" i="6"/>
  <c r="I14" i="6"/>
  <c r="H14" i="6"/>
  <c r="G14" i="6"/>
  <c r="F14" i="6"/>
  <c r="E14" i="6"/>
  <c r="D14" i="6"/>
  <c r="C14" i="6"/>
  <c r="B14" i="6"/>
  <c r="M14" i="5"/>
  <c r="L14" i="5"/>
  <c r="K14" i="5"/>
  <c r="J14" i="5"/>
  <c r="I14" i="5"/>
  <c r="H14" i="5"/>
  <c r="G14" i="5"/>
  <c r="F14" i="5"/>
  <c r="E14" i="5"/>
  <c r="D14" i="5"/>
  <c r="C14" i="5"/>
  <c r="B14" i="5"/>
  <c r="M14" i="4"/>
  <c r="L14" i="4"/>
  <c r="K14" i="4"/>
  <c r="J14" i="4"/>
  <c r="I14" i="4"/>
  <c r="H14" i="4"/>
  <c r="G14" i="4"/>
  <c r="F14" i="4"/>
  <c r="E14" i="4"/>
  <c r="P12" i="13" l="1"/>
  <c r="K23" i="1" l="1"/>
  <c r="K24" i="1"/>
  <c r="K25" i="1"/>
  <c r="K26" i="1"/>
  <c r="K33" i="1"/>
  <c r="K34" i="1"/>
  <c r="K36" i="1"/>
  <c r="K37" i="1"/>
  <c r="K35" i="1"/>
  <c r="K38" i="1"/>
  <c r="K39" i="1"/>
  <c r="K40" i="1"/>
  <c r="K19" i="1"/>
  <c r="K20" i="1"/>
  <c r="K21" i="1"/>
  <c r="J19" i="1"/>
  <c r="J20" i="1"/>
  <c r="J21" i="1"/>
  <c r="J23" i="1"/>
  <c r="J24" i="1"/>
  <c r="J25" i="1"/>
  <c r="J26" i="1"/>
  <c r="J33" i="1"/>
  <c r="J34" i="1"/>
  <c r="J36" i="1"/>
  <c r="J37" i="1"/>
  <c r="J35" i="1"/>
  <c r="J38" i="1"/>
  <c r="J39" i="1"/>
  <c r="J40" i="1"/>
  <c r="I19" i="1"/>
  <c r="I20" i="1"/>
  <c r="I21" i="1"/>
  <c r="I23" i="1"/>
  <c r="I24" i="1"/>
  <c r="I25" i="1"/>
  <c r="I26" i="1"/>
  <c r="I33" i="1"/>
  <c r="I34" i="1"/>
  <c r="I36" i="1"/>
  <c r="I37" i="1"/>
  <c r="I35" i="1"/>
  <c r="I38" i="1"/>
  <c r="I39" i="1"/>
  <c r="I40" i="1"/>
  <c r="H19" i="1"/>
  <c r="H20" i="1"/>
  <c r="H21" i="1"/>
  <c r="H23" i="1"/>
  <c r="H24" i="1"/>
  <c r="H25" i="1"/>
  <c r="H26" i="1"/>
  <c r="H33" i="1"/>
  <c r="H34" i="1"/>
  <c r="H36" i="1"/>
  <c r="H37" i="1"/>
  <c r="H35" i="1"/>
  <c r="H38" i="1"/>
  <c r="H39" i="1"/>
  <c r="H40" i="1"/>
  <c r="G19" i="1"/>
  <c r="G20" i="1"/>
  <c r="G21" i="1"/>
  <c r="G23" i="1"/>
  <c r="G24" i="1"/>
  <c r="G25" i="1"/>
  <c r="G26" i="1"/>
  <c r="G33" i="1"/>
  <c r="G34" i="1"/>
  <c r="G36" i="1"/>
  <c r="G37" i="1"/>
  <c r="G35" i="1"/>
  <c r="G39" i="1"/>
  <c r="F19" i="1"/>
  <c r="F20" i="1"/>
  <c r="F21" i="1"/>
  <c r="F23" i="1"/>
  <c r="F24" i="1"/>
  <c r="F25" i="1"/>
  <c r="F26" i="1"/>
  <c r="F33" i="1"/>
  <c r="F34" i="1"/>
  <c r="F36" i="1"/>
  <c r="F37" i="1"/>
  <c r="F35" i="1"/>
  <c r="F38" i="1"/>
  <c r="F39" i="1"/>
  <c r="F40" i="1"/>
  <c r="E32" i="1"/>
  <c r="E33" i="1"/>
  <c r="E36" i="1"/>
  <c r="E37" i="1"/>
  <c r="E35" i="1"/>
  <c r="E38" i="1"/>
  <c r="E39" i="1"/>
  <c r="E23" i="1"/>
  <c r="E24" i="1"/>
  <c r="E25" i="1"/>
  <c r="E26" i="1"/>
  <c r="E19" i="1"/>
  <c r="E20" i="1"/>
  <c r="E21" i="1"/>
  <c r="D33" i="1"/>
  <c r="D36" i="1"/>
  <c r="D37" i="1"/>
  <c r="D35" i="1"/>
  <c r="D38" i="1"/>
  <c r="D39" i="1"/>
  <c r="D23" i="1"/>
  <c r="D24" i="1"/>
  <c r="D25" i="1"/>
  <c r="D26" i="1"/>
  <c r="C23" i="1"/>
  <c r="C24" i="1"/>
  <c r="C25" i="1"/>
  <c r="C26" i="1"/>
  <c r="C27" i="1"/>
  <c r="C28" i="1"/>
  <c r="C29" i="1"/>
  <c r="C33" i="1"/>
  <c r="C34" i="1"/>
  <c r="C36" i="1"/>
  <c r="C37" i="1"/>
  <c r="C35" i="1"/>
  <c r="C38" i="1"/>
  <c r="C39" i="1"/>
  <c r="C40" i="1"/>
  <c r="C20" i="1"/>
  <c r="B20" i="1"/>
  <c r="B23" i="1"/>
  <c r="B24" i="1"/>
  <c r="B25" i="1"/>
  <c r="B26" i="1"/>
  <c r="B27" i="1"/>
  <c r="B28" i="1"/>
  <c r="B29" i="1"/>
  <c r="B33" i="1"/>
  <c r="B34" i="1"/>
  <c r="B36" i="1"/>
  <c r="B37" i="1"/>
  <c r="B35" i="1"/>
  <c r="B38" i="1"/>
  <c r="B39" i="1"/>
  <c r="B40" i="1"/>
  <c r="B42" i="1"/>
  <c r="C42" i="1"/>
  <c r="E12" i="1" l="1"/>
  <c r="E11" i="1"/>
  <c r="E10" i="1"/>
  <c r="E9" i="1"/>
  <c r="C12" i="1"/>
  <c r="F23" i="21"/>
  <c r="G23" i="21"/>
  <c r="H23" i="21"/>
  <c r="I23" i="21"/>
  <c r="J23" i="21"/>
  <c r="K23" i="21"/>
  <c r="K27" i="21" s="1"/>
  <c r="K28" i="21" s="1"/>
  <c r="L23" i="21"/>
  <c r="M23" i="21"/>
  <c r="B23" i="21"/>
  <c r="C23" i="21"/>
  <c r="D23" i="21"/>
  <c r="D27" i="21" s="1"/>
  <c r="D28" i="21" s="1"/>
  <c r="E23" i="21"/>
  <c r="B13" i="21"/>
  <c r="N13" i="21" s="1"/>
  <c r="C13" i="21"/>
  <c r="D13" i="21"/>
  <c r="E13" i="21"/>
  <c r="F13" i="21"/>
  <c r="G13" i="21"/>
  <c r="H13" i="21"/>
  <c r="I13" i="21"/>
  <c r="J13" i="21"/>
  <c r="K13" i="21"/>
  <c r="L13" i="21"/>
  <c r="M13" i="21"/>
  <c r="M131" i="14"/>
  <c r="L131" i="14"/>
  <c r="K131" i="14"/>
  <c r="J131" i="14"/>
  <c r="I131" i="14"/>
  <c r="H131" i="14"/>
  <c r="G131" i="14"/>
  <c r="F131" i="14"/>
  <c r="N131" i="14" s="1"/>
  <c r="E131" i="14"/>
  <c r="D131" i="14"/>
  <c r="C131" i="14"/>
  <c r="B131" i="14"/>
  <c r="M124" i="14"/>
  <c r="L124" i="14"/>
  <c r="K124" i="14"/>
  <c r="J124" i="14"/>
  <c r="J125" i="14" s="1"/>
  <c r="J128" i="14" s="1"/>
  <c r="I124" i="14"/>
  <c r="H124" i="14"/>
  <c r="G124" i="14"/>
  <c r="G125" i="14" s="1"/>
  <c r="F124" i="14"/>
  <c r="F125" i="14" s="1"/>
  <c r="F128" i="14" s="1"/>
  <c r="E124" i="14"/>
  <c r="D124" i="14"/>
  <c r="C124" i="14"/>
  <c r="B124" i="14"/>
  <c r="M120" i="14"/>
  <c r="L120" i="14"/>
  <c r="K120" i="14"/>
  <c r="J120" i="14"/>
  <c r="I120" i="14"/>
  <c r="H120" i="14"/>
  <c r="G120" i="14"/>
  <c r="F120" i="14"/>
  <c r="E120" i="14"/>
  <c r="D120" i="14"/>
  <c r="D122" i="14" s="1"/>
  <c r="C120" i="14"/>
  <c r="B120" i="14"/>
  <c r="N130" i="14"/>
  <c r="N129" i="14"/>
  <c r="N127" i="14"/>
  <c r="M126" i="14"/>
  <c r="I126" i="14"/>
  <c r="E126" i="14"/>
  <c r="B125" i="14"/>
  <c r="B128" i="14" s="1"/>
  <c r="M125" i="14"/>
  <c r="M128" i="14" s="1"/>
  <c r="L125" i="14"/>
  <c r="I125" i="14"/>
  <c r="I128" i="14" s="1"/>
  <c r="E125" i="14"/>
  <c r="E128" i="14" s="1"/>
  <c r="D125" i="14"/>
  <c r="D128" i="14" s="1"/>
  <c r="C125" i="14"/>
  <c r="C128" i="14" s="1"/>
  <c r="M122" i="14"/>
  <c r="L122" i="14"/>
  <c r="I122" i="14"/>
  <c r="H122" i="14"/>
  <c r="E122" i="14"/>
  <c r="N121" i="14"/>
  <c r="L126" i="14"/>
  <c r="K122" i="14"/>
  <c r="J126" i="14"/>
  <c r="H126" i="14"/>
  <c r="G122" i="14"/>
  <c r="F126" i="14"/>
  <c r="D126" i="14"/>
  <c r="C122" i="14"/>
  <c r="B126" i="14"/>
  <c r="B22" i="21"/>
  <c r="C22" i="21"/>
  <c r="D22" i="21"/>
  <c r="E22" i="21"/>
  <c r="N22" i="21" s="1"/>
  <c r="F22" i="21"/>
  <c r="G22" i="21"/>
  <c r="H22" i="21"/>
  <c r="I22" i="21"/>
  <c r="J22" i="21"/>
  <c r="K22" i="21"/>
  <c r="L22" i="21"/>
  <c r="M22" i="21"/>
  <c r="B11" i="21"/>
  <c r="C11" i="21"/>
  <c r="N11" i="21" s="1"/>
  <c r="D11" i="21"/>
  <c r="E11" i="21"/>
  <c r="F11" i="21"/>
  <c r="G11" i="21"/>
  <c r="H11" i="21"/>
  <c r="I11" i="21"/>
  <c r="J11" i="21"/>
  <c r="K11" i="21"/>
  <c r="L11" i="21"/>
  <c r="M11" i="21"/>
  <c r="L96" i="13"/>
  <c r="H96" i="13"/>
  <c r="E96" i="13"/>
  <c r="B96" i="13"/>
  <c r="M92" i="13"/>
  <c r="L92" i="13"/>
  <c r="K92" i="13"/>
  <c r="J92" i="13"/>
  <c r="I92" i="13"/>
  <c r="H92" i="13"/>
  <c r="G92" i="13"/>
  <c r="D92" i="13"/>
  <c r="C92" i="13"/>
  <c r="B92" i="13"/>
  <c r="E91" i="13"/>
  <c r="J91" i="13"/>
  <c r="M91" i="13"/>
  <c r="L91" i="13"/>
  <c r="K91" i="13"/>
  <c r="I91" i="13"/>
  <c r="H91" i="13"/>
  <c r="G91" i="13"/>
  <c r="D91" i="13"/>
  <c r="D94" i="13" s="1"/>
  <c r="C91" i="13"/>
  <c r="B91" i="13"/>
  <c r="F89" i="13"/>
  <c r="M89" i="13"/>
  <c r="J89" i="13"/>
  <c r="G89" i="13"/>
  <c r="C89" i="13"/>
  <c r="M99" i="13"/>
  <c r="K99" i="13"/>
  <c r="J99" i="13"/>
  <c r="I99" i="13"/>
  <c r="G99" i="13"/>
  <c r="F99" i="13"/>
  <c r="D99" i="13"/>
  <c r="C99" i="13"/>
  <c r="N98" i="13"/>
  <c r="L98" i="13"/>
  <c r="N97" i="13"/>
  <c r="L99" i="13"/>
  <c r="H99" i="13"/>
  <c r="E99" i="13"/>
  <c r="B99" i="13"/>
  <c r="N95" i="13"/>
  <c r="M94" i="13"/>
  <c r="I94" i="13"/>
  <c r="N93" i="13"/>
  <c r="N92" i="13"/>
  <c r="K94" i="13"/>
  <c r="E94" i="13"/>
  <c r="L90" i="13"/>
  <c r="L94" i="13" s="1"/>
  <c r="H90" i="13"/>
  <c r="H94" i="13" s="1"/>
  <c r="E90" i="13"/>
  <c r="B90" i="13"/>
  <c r="B94" i="13" s="1"/>
  <c r="J94" i="13"/>
  <c r="G94" i="13"/>
  <c r="F94" i="13"/>
  <c r="N89" i="13"/>
  <c r="B12" i="21"/>
  <c r="C12" i="21"/>
  <c r="N12" i="21" s="1"/>
  <c r="D12" i="21"/>
  <c r="E12" i="21"/>
  <c r="F12" i="21"/>
  <c r="G12" i="21"/>
  <c r="H12" i="21"/>
  <c r="I12" i="21"/>
  <c r="J12" i="21"/>
  <c r="K12" i="21"/>
  <c r="L12" i="21"/>
  <c r="M12" i="21"/>
  <c r="B53" i="15"/>
  <c r="B56" i="15" s="1"/>
  <c r="N55" i="15"/>
  <c r="M54" i="15"/>
  <c r="L54" i="15"/>
  <c r="K54" i="15"/>
  <c r="J54" i="15"/>
  <c r="I54" i="15"/>
  <c r="H54" i="15"/>
  <c r="G54" i="15"/>
  <c r="F54" i="15"/>
  <c r="E54" i="15"/>
  <c r="D54" i="15"/>
  <c r="C54" i="15"/>
  <c r="B54" i="15"/>
  <c r="N54" i="15" s="1"/>
  <c r="M53" i="15"/>
  <c r="M56" i="15" s="1"/>
  <c r="L53" i="15"/>
  <c r="L56" i="15" s="1"/>
  <c r="K53" i="15"/>
  <c r="K56" i="15" s="1"/>
  <c r="J53" i="15"/>
  <c r="J56" i="15" s="1"/>
  <c r="I53" i="15"/>
  <c r="I56" i="15" s="1"/>
  <c r="H53" i="15"/>
  <c r="H56" i="15" s="1"/>
  <c r="G53" i="15"/>
  <c r="G56" i="15" s="1"/>
  <c r="F53" i="15"/>
  <c r="F56" i="15" s="1"/>
  <c r="E53" i="15"/>
  <c r="E56" i="15" s="1"/>
  <c r="D53" i="15"/>
  <c r="D56" i="15" s="1"/>
  <c r="C53" i="15"/>
  <c r="C56" i="15" s="1"/>
  <c r="B24" i="21"/>
  <c r="C24" i="21"/>
  <c r="D24" i="21"/>
  <c r="E24" i="21"/>
  <c r="N24" i="21" s="1"/>
  <c r="F24" i="21"/>
  <c r="G24" i="21"/>
  <c r="H24" i="21"/>
  <c r="I24" i="21"/>
  <c r="J24" i="21"/>
  <c r="K24" i="21"/>
  <c r="L24" i="21"/>
  <c r="M24" i="21"/>
  <c r="B10" i="21"/>
  <c r="C10" i="21"/>
  <c r="D10" i="21"/>
  <c r="E10" i="21"/>
  <c r="F10" i="21"/>
  <c r="G10" i="21"/>
  <c r="H10" i="21"/>
  <c r="I10" i="21"/>
  <c r="J10" i="21"/>
  <c r="K10" i="21"/>
  <c r="L10" i="21"/>
  <c r="M10" i="21"/>
  <c r="E204" i="11"/>
  <c r="M203" i="11"/>
  <c r="L203" i="11"/>
  <c r="K203" i="11"/>
  <c r="J203" i="11"/>
  <c r="I203" i="11"/>
  <c r="H203" i="11"/>
  <c r="G203" i="11"/>
  <c r="F203" i="11"/>
  <c r="E203" i="11"/>
  <c r="D203" i="11"/>
  <c r="C203" i="11"/>
  <c r="B203" i="11"/>
  <c r="N203" i="11" s="1"/>
  <c r="M202" i="11"/>
  <c r="L202" i="11"/>
  <c r="K202" i="11"/>
  <c r="J202" i="11"/>
  <c r="I202" i="11"/>
  <c r="H202" i="11"/>
  <c r="G202" i="11"/>
  <c r="F202" i="11"/>
  <c r="E202" i="11"/>
  <c r="D202" i="11"/>
  <c r="C202" i="11"/>
  <c r="N202" i="11" s="1"/>
  <c r="B202" i="11"/>
  <c r="M200" i="11"/>
  <c r="L200" i="11"/>
  <c r="K200" i="11"/>
  <c r="J200" i="11"/>
  <c r="I200" i="11"/>
  <c r="H200" i="11"/>
  <c r="G200" i="11"/>
  <c r="C200" i="11"/>
  <c r="N200" i="11" s="1"/>
  <c r="B200" i="11"/>
  <c r="M199" i="11"/>
  <c r="L199" i="11"/>
  <c r="K199" i="11"/>
  <c r="J199" i="11"/>
  <c r="I199" i="11"/>
  <c r="H199" i="11"/>
  <c r="G199" i="11"/>
  <c r="F199" i="11"/>
  <c r="E199" i="11"/>
  <c r="D199" i="11"/>
  <c r="C199" i="11"/>
  <c r="B199" i="11"/>
  <c r="F195" i="11"/>
  <c r="M192" i="11"/>
  <c r="J192" i="11"/>
  <c r="G192" i="11"/>
  <c r="G196" i="11" s="1"/>
  <c r="M190" i="11"/>
  <c r="M196" i="11" s="1"/>
  <c r="L190" i="11"/>
  <c r="K190" i="11"/>
  <c r="J190" i="11"/>
  <c r="I190" i="11"/>
  <c r="H190" i="11"/>
  <c r="G190" i="11"/>
  <c r="F190" i="11"/>
  <c r="E190" i="11"/>
  <c r="E196" i="11" s="1"/>
  <c r="D190" i="11"/>
  <c r="C190" i="11"/>
  <c r="B190" i="11"/>
  <c r="N190" i="11" s="1"/>
  <c r="B209" i="11"/>
  <c r="N205" i="11"/>
  <c r="N204" i="11"/>
  <c r="N201" i="11"/>
  <c r="N195" i="11"/>
  <c r="L194" i="11"/>
  <c r="H194" i="11"/>
  <c r="E194" i="11"/>
  <c r="B194" i="11"/>
  <c r="N194" i="11" s="1"/>
  <c r="M193" i="11"/>
  <c r="L193" i="11"/>
  <c r="K193" i="11"/>
  <c r="I193" i="11"/>
  <c r="H193" i="11"/>
  <c r="G193" i="11"/>
  <c r="E193" i="11"/>
  <c r="D193" i="11"/>
  <c r="N193" i="11" s="1"/>
  <c r="C193" i="11"/>
  <c r="B193" i="11"/>
  <c r="C192" i="11"/>
  <c r="N192" i="11" s="1"/>
  <c r="N191" i="11"/>
  <c r="K191" i="11"/>
  <c r="J191" i="11"/>
  <c r="B191" i="11"/>
  <c r="L196" i="11"/>
  <c r="K196" i="11"/>
  <c r="J196" i="11"/>
  <c r="I196" i="11"/>
  <c r="H196" i="11"/>
  <c r="F196" i="11"/>
  <c r="D196" i="11"/>
  <c r="C196" i="11"/>
  <c r="M21" i="21"/>
  <c r="L21" i="21"/>
  <c r="K21" i="21"/>
  <c r="J21" i="21"/>
  <c r="J27" i="21" s="1"/>
  <c r="J28" i="21" s="1"/>
  <c r="I21" i="21"/>
  <c r="H21" i="21"/>
  <c r="G21" i="21"/>
  <c r="G27" i="21" s="1"/>
  <c r="G28" i="21" s="1"/>
  <c r="F21" i="21"/>
  <c r="E21" i="21"/>
  <c r="D21" i="21"/>
  <c r="C21" i="21"/>
  <c r="C27" i="21" s="1"/>
  <c r="C28" i="21" s="1"/>
  <c r="B21" i="21"/>
  <c r="M20" i="21"/>
  <c r="L20" i="21"/>
  <c r="K20" i="21"/>
  <c r="J20" i="21"/>
  <c r="I20" i="21"/>
  <c r="H20" i="21"/>
  <c r="G20" i="21"/>
  <c r="F20" i="21"/>
  <c r="N20" i="21" s="1"/>
  <c r="E20" i="21"/>
  <c r="D20" i="21"/>
  <c r="C20" i="21"/>
  <c r="B20" i="21"/>
  <c r="N15" i="21"/>
  <c r="K28" i="1" s="1"/>
  <c r="C16" i="21"/>
  <c r="N26" i="21"/>
  <c r="N25" i="21"/>
  <c r="L27" i="21"/>
  <c r="L28" i="21" s="1"/>
  <c r="H27" i="21"/>
  <c r="H28" i="21" s="1"/>
  <c r="N19" i="21"/>
  <c r="N14" i="21"/>
  <c r="K27" i="1" s="1"/>
  <c r="K16" i="21"/>
  <c r="G16" i="21"/>
  <c r="M7" i="21"/>
  <c r="L7" i="21"/>
  <c r="K7" i="21"/>
  <c r="J7" i="21"/>
  <c r="I7" i="21"/>
  <c r="H7" i="21"/>
  <c r="G7" i="21"/>
  <c r="F7" i="21"/>
  <c r="E7" i="21"/>
  <c r="D7" i="21"/>
  <c r="C7" i="21"/>
  <c r="B7" i="21"/>
  <c r="N6" i="21"/>
  <c r="N5" i="21"/>
  <c r="N7" i="21" s="1"/>
  <c r="B23" i="20"/>
  <c r="C23" i="20"/>
  <c r="D23" i="20"/>
  <c r="E23" i="20"/>
  <c r="N23" i="20" s="1"/>
  <c r="F23" i="20"/>
  <c r="G23" i="20"/>
  <c r="H23" i="20"/>
  <c r="I23" i="20"/>
  <c r="J23" i="20"/>
  <c r="K23" i="20"/>
  <c r="L23" i="20"/>
  <c r="M23" i="20"/>
  <c r="B13" i="20"/>
  <c r="C13" i="20"/>
  <c r="D13" i="20"/>
  <c r="E13" i="20"/>
  <c r="F13" i="20"/>
  <c r="G13" i="20"/>
  <c r="H13" i="20"/>
  <c r="I13" i="20"/>
  <c r="N13" i="20" s="1"/>
  <c r="J13" i="20"/>
  <c r="K13" i="20"/>
  <c r="L13" i="20"/>
  <c r="M13" i="20"/>
  <c r="M115" i="14"/>
  <c r="L115" i="14"/>
  <c r="K115" i="14"/>
  <c r="J115" i="14"/>
  <c r="I115" i="14"/>
  <c r="H115" i="14"/>
  <c r="G115" i="14"/>
  <c r="F115" i="14"/>
  <c r="N115" i="14" s="1"/>
  <c r="E115" i="14"/>
  <c r="D115" i="14"/>
  <c r="C115" i="14"/>
  <c r="B115" i="14"/>
  <c r="M108" i="14"/>
  <c r="L108" i="14"/>
  <c r="K108" i="14"/>
  <c r="J108" i="14"/>
  <c r="J109" i="14" s="1"/>
  <c r="J112" i="14" s="1"/>
  <c r="I108" i="14"/>
  <c r="H108" i="14"/>
  <c r="G108" i="14"/>
  <c r="G109" i="14" s="1"/>
  <c r="G112" i="14" s="1"/>
  <c r="F108" i="14"/>
  <c r="F109" i="14" s="1"/>
  <c r="F112" i="14" s="1"/>
  <c r="E108" i="14"/>
  <c r="D108" i="14"/>
  <c r="C108" i="14"/>
  <c r="B108" i="14"/>
  <c r="M104" i="14"/>
  <c r="L104" i="14"/>
  <c r="K104" i="14"/>
  <c r="J104" i="14"/>
  <c r="I104" i="14"/>
  <c r="H104" i="14"/>
  <c r="G104" i="14"/>
  <c r="F104" i="14"/>
  <c r="E104" i="14"/>
  <c r="D104" i="14"/>
  <c r="C104" i="14"/>
  <c r="B104" i="14"/>
  <c r="N114" i="14"/>
  <c r="N113" i="14"/>
  <c r="N111" i="14"/>
  <c r="M110" i="14"/>
  <c r="I110" i="14"/>
  <c r="E110" i="14"/>
  <c r="B109" i="14"/>
  <c r="B112" i="14" s="1"/>
  <c r="M109" i="14"/>
  <c r="M112" i="14" s="1"/>
  <c r="L109" i="14"/>
  <c r="L112" i="14" s="1"/>
  <c r="I109" i="14"/>
  <c r="I112" i="14" s="1"/>
  <c r="H109" i="14"/>
  <c r="E109" i="14"/>
  <c r="E112" i="14" s="1"/>
  <c r="D109" i="14"/>
  <c r="D112" i="14" s="1"/>
  <c r="M106" i="14"/>
  <c r="L106" i="14"/>
  <c r="I106" i="14"/>
  <c r="H106" i="14"/>
  <c r="E106" i="14"/>
  <c r="D106" i="14"/>
  <c r="N105" i="14"/>
  <c r="L110" i="14"/>
  <c r="K106" i="14"/>
  <c r="J106" i="14"/>
  <c r="H110" i="14"/>
  <c r="G106" i="14"/>
  <c r="F106" i="14"/>
  <c r="D110" i="14"/>
  <c r="C106" i="14"/>
  <c r="N104" i="14"/>
  <c r="N106" i="14" s="1"/>
  <c r="B12" i="20"/>
  <c r="C12" i="20"/>
  <c r="D12" i="20"/>
  <c r="E12" i="20"/>
  <c r="F12" i="20"/>
  <c r="G12" i="20"/>
  <c r="H12" i="20"/>
  <c r="I12" i="20"/>
  <c r="J12" i="20"/>
  <c r="K12" i="20"/>
  <c r="L12" i="20"/>
  <c r="M12" i="20"/>
  <c r="L49" i="15"/>
  <c r="K49" i="15"/>
  <c r="H49" i="15"/>
  <c r="G49" i="15"/>
  <c r="D49" i="15"/>
  <c r="C49" i="15"/>
  <c r="N48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N47" i="15" s="1"/>
  <c r="M46" i="15"/>
  <c r="M49" i="15" s="1"/>
  <c r="L46" i="15"/>
  <c r="K46" i="15"/>
  <c r="J46" i="15"/>
  <c r="J49" i="15" s="1"/>
  <c r="I46" i="15"/>
  <c r="I49" i="15" s="1"/>
  <c r="H46" i="15"/>
  <c r="G46" i="15"/>
  <c r="F46" i="15"/>
  <c r="F49" i="15" s="1"/>
  <c r="E46" i="15"/>
  <c r="E49" i="15" s="1"/>
  <c r="D46" i="15"/>
  <c r="C46" i="15"/>
  <c r="B46" i="15"/>
  <c r="B49" i="15" s="1"/>
  <c r="B22" i="20"/>
  <c r="C22" i="20"/>
  <c r="D22" i="20"/>
  <c r="E22" i="20"/>
  <c r="F22" i="20"/>
  <c r="G22" i="20"/>
  <c r="H22" i="20"/>
  <c r="I22" i="20"/>
  <c r="N22" i="20" s="1"/>
  <c r="J22" i="20"/>
  <c r="K22" i="20"/>
  <c r="L22" i="20"/>
  <c r="M22" i="20"/>
  <c r="B11" i="20"/>
  <c r="C11" i="20"/>
  <c r="D11" i="20"/>
  <c r="N11" i="20" s="1"/>
  <c r="E11" i="20"/>
  <c r="F11" i="20"/>
  <c r="G11" i="20"/>
  <c r="H11" i="20"/>
  <c r="I11" i="20"/>
  <c r="J11" i="20"/>
  <c r="K11" i="20"/>
  <c r="L11" i="20"/>
  <c r="M11" i="20"/>
  <c r="L82" i="13"/>
  <c r="H82" i="13"/>
  <c r="E82" i="13"/>
  <c r="E85" i="13" s="1"/>
  <c r="B82" i="13"/>
  <c r="M78" i="13"/>
  <c r="L78" i="13"/>
  <c r="K78" i="13"/>
  <c r="J78" i="13"/>
  <c r="J80" i="13" s="1"/>
  <c r="I78" i="13"/>
  <c r="H78" i="13"/>
  <c r="G78" i="13"/>
  <c r="D78" i="13"/>
  <c r="C78" i="13"/>
  <c r="B78" i="13"/>
  <c r="E77" i="13"/>
  <c r="J77" i="13"/>
  <c r="M77" i="13"/>
  <c r="L77" i="13"/>
  <c r="K77" i="13"/>
  <c r="K80" i="13" s="1"/>
  <c r="I77" i="13"/>
  <c r="H77" i="13"/>
  <c r="G77" i="13"/>
  <c r="D77" i="13"/>
  <c r="C77" i="13"/>
  <c r="B77" i="13"/>
  <c r="F75" i="13"/>
  <c r="M75" i="13"/>
  <c r="J75" i="13"/>
  <c r="G75" i="13"/>
  <c r="C75" i="13"/>
  <c r="M85" i="13"/>
  <c r="K85" i="13"/>
  <c r="J85" i="13"/>
  <c r="I85" i="13"/>
  <c r="H85" i="13"/>
  <c r="G85" i="13"/>
  <c r="F85" i="13"/>
  <c r="D85" i="13"/>
  <c r="C85" i="13"/>
  <c r="L84" i="13"/>
  <c r="L85" i="13" s="1"/>
  <c r="N83" i="13"/>
  <c r="B85" i="13"/>
  <c r="N81" i="13"/>
  <c r="M80" i="13"/>
  <c r="I80" i="13"/>
  <c r="F80" i="13"/>
  <c r="N79" i="13"/>
  <c r="E80" i="13"/>
  <c r="D80" i="13"/>
  <c r="L76" i="13"/>
  <c r="H76" i="13"/>
  <c r="H80" i="13" s="1"/>
  <c r="E76" i="13"/>
  <c r="B76" i="13"/>
  <c r="B80" i="13" s="1"/>
  <c r="N75" i="13"/>
  <c r="B10" i="20"/>
  <c r="C10" i="20"/>
  <c r="D10" i="20"/>
  <c r="E10" i="20"/>
  <c r="N10" i="20" s="1"/>
  <c r="F10" i="20"/>
  <c r="G10" i="20"/>
  <c r="H10" i="20"/>
  <c r="I10" i="20"/>
  <c r="J10" i="20"/>
  <c r="K10" i="20"/>
  <c r="L10" i="20"/>
  <c r="M10" i="20"/>
  <c r="B24" i="20"/>
  <c r="C24" i="20"/>
  <c r="N24" i="20" s="1"/>
  <c r="D24" i="20"/>
  <c r="E24" i="20"/>
  <c r="F24" i="20"/>
  <c r="G24" i="20"/>
  <c r="H24" i="20"/>
  <c r="I24" i="20"/>
  <c r="J24" i="20"/>
  <c r="K24" i="20"/>
  <c r="L24" i="20"/>
  <c r="M24" i="20"/>
  <c r="E177" i="11"/>
  <c r="M176" i="11"/>
  <c r="L176" i="11"/>
  <c r="K176" i="11"/>
  <c r="J176" i="11"/>
  <c r="I176" i="11"/>
  <c r="H176" i="11"/>
  <c r="G176" i="11"/>
  <c r="F176" i="11"/>
  <c r="E176" i="11"/>
  <c r="D176" i="11"/>
  <c r="C176" i="11"/>
  <c r="N176" i="11" s="1"/>
  <c r="B176" i="11"/>
  <c r="M175" i="11"/>
  <c r="L175" i="11"/>
  <c r="K175" i="11"/>
  <c r="J175" i="11"/>
  <c r="I175" i="11"/>
  <c r="H175" i="11"/>
  <c r="G175" i="11"/>
  <c r="F175" i="11"/>
  <c r="N175" i="11" s="1"/>
  <c r="E175" i="11"/>
  <c r="D175" i="11"/>
  <c r="C175" i="11"/>
  <c r="B175" i="11"/>
  <c r="M173" i="11"/>
  <c r="L173" i="11"/>
  <c r="K173" i="11"/>
  <c r="J173" i="11"/>
  <c r="I173" i="11"/>
  <c r="H173" i="11"/>
  <c r="G173" i="11"/>
  <c r="C173" i="11"/>
  <c r="B173" i="11"/>
  <c r="M172" i="11"/>
  <c r="L172" i="11"/>
  <c r="K172" i="11"/>
  <c r="J172" i="11"/>
  <c r="I172" i="11"/>
  <c r="H172" i="11"/>
  <c r="G172" i="11"/>
  <c r="F172" i="11"/>
  <c r="E172" i="11"/>
  <c r="D172" i="11"/>
  <c r="C172" i="11"/>
  <c r="B172" i="11"/>
  <c r="F168" i="11"/>
  <c r="L167" i="11"/>
  <c r="H167" i="11"/>
  <c r="E167" i="11"/>
  <c r="B167" i="11"/>
  <c r="M166" i="11"/>
  <c r="L166" i="11"/>
  <c r="K166" i="11"/>
  <c r="I166" i="11"/>
  <c r="H166" i="11"/>
  <c r="G166" i="11"/>
  <c r="E166" i="11"/>
  <c r="D166" i="11"/>
  <c r="C166" i="11"/>
  <c r="C169" i="11" s="1"/>
  <c r="B166" i="11"/>
  <c r="M165" i="11"/>
  <c r="M169" i="11" s="1"/>
  <c r="J165" i="11"/>
  <c r="G165" i="11"/>
  <c r="C165" i="11"/>
  <c r="M163" i="11"/>
  <c r="L163" i="11"/>
  <c r="K163" i="11"/>
  <c r="J163" i="11"/>
  <c r="I163" i="11"/>
  <c r="H163" i="11"/>
  <c r="G163" i="11"/>
  <c r="F163" i="11"/>
  <c r="E163" i="11"/>
  <c r="D163" i="11"/>
  <c r="C163" i="11"/>
  <c r="B163" i="11"/>
  <c r="B182" i="11"/>
  <c r="N178" i="11"/>
  <c r="N177" i="11"/>
  <c r="N174" i="11"/>
  <c r="N168" i="11"/>
  <c r="N167" i="11"/>
  <c r="N165" i="11"/>
  <c r="N164" i="11"/>
  <c r="K164" i="11"/>
  <c r="J164" i="11"/>
  <c r="B164" i="11"/>
  <c r="L169" i="11"/>
  <c r="K169" i="11"/>
  <c r="J169" i="11"/>
  <c r="I169" i="11"/>
  <c r="H169" i="11"/>
  <c r="G169" i="11"/>
  <c r="F169" i="11"/>
  <c r="E169" i="11"/>
  <c r="D169" i="11"/>
  <c r="B169" i="11"/>
  <c r="M21" i="20"/>
  <c r="L21" i="20"/>
  <c r="K21" i="20"/>
  <c r="J21" i="20"/>
  <c r="I21" i="20"/>
  <c r="H21" i="20"/>
  <c r="G21" i="20"/>
  <c r="F21" i="20"/>
  <c r="N21" i="20" s="1"/>
  <c r="E21" i="20"/>
  <c r="D21" i="20"/>
  <c r="C21" i="20"/>
  <c r="B21" i="20"/>
  <c r="M20" i="20"/>
  <c r="L20" i="20"/>
  <c r="K20" i="20"/>
  <c r="J20" i="20"/>
  <c r="J27" i="20" s="1"/>
  <c r="J28" i="20" s="1"/>
  <c r="I20" i="20"/>
  <c r="H20" i="20"/>
  <c r="G20" i="20"/>
  <c r="F20" i="20"/>
  <c r="E20" i="20"/>
  <c r="D20" i="20"/>
  <c r="C20" i="20"/>
  <c r="B20" i="20"/>
  <c r="N26" i="20"/>
  <c r="N25" i="20"/>
  <c r="L27" i="20"/>
  <c r="L28" i="20" s="1"/>
  <c r="H27" i="20"/>
  <c r="H28" i="20" s="1"/>
  <c r="D27" i="20"/>
  <c r="D28" i="20" s="1"/>
  <c r="G27" i="20"/>
  <c r="G28" i="20" s="1"/>
  <c r="N19" i="20"/>
  <c r="N15" i="20"/>
  <c r="J28" i="1" s="1"/>
  <c r="N14" i="20"/>
  <c r="J27" i="1" s="1"/>
  <c r="J16" i="20"/>
  <c r="F16" i="20"/>
  <c r="N12" i="20"/>
  <c r="K16" i="20"/>
  <c r="H16" i="20"/>
  <c r="G16" i="20"/>
  <c r="C16" i="20"/>
  <c r="M7" i="20"/>
  <c r="L7" i="20"/>
  <c r="K7" i="20"/>
  <c r="J7" i="20"/>
  <c r="I7" i="20"/>
  <c r="H7" i="20"/>
  <c r="G7" i="20"/>
  <c r="F7" i="20"/>
  <c r="E7" i="20"/>
  <c r="D7" i="20"/>
  <c r="C7" i="20"/>
  <c r="B7" i="20"/>
  <c r="N6" i="20"/>
  <c r="N5" i="20"/>
  <c r="N7" i="20" s="1"/>
  <c r="I23" i="19"/>
  <c r="J23" i="19"/>
  <c r="K23" i="19"/>
  <c r="L23" i="19"/>
  <c r="L27" i="19" s="1"/>
  <c r="L28" i="19" s="1"/>
  <c r="M23" i="19"/>
  <c r="E23" i="19"/>
  <c r="F23" i="19"/>
  <c r="G23" i="19"/>
  <c r="H23" i="19"/>
  <c r="H27" i="19" s="1"/>
  <c r="H28" i="19" s="1"/>
  <c r="C23" i="19"/>
  <c r="D23" i="19"/>
  <c r="B23" i="19"/>
  <c r="M99" i="14"/>
  <c r="L99" i="14"/>
  <c r="K99" i="14"/>
  <c r="J99" i="14"/>
  <c r="I99" i="14"/>
  <c r="H99" i="14"/>
  <c r="G99" i="14"/>
  <c r="F99" i="14"/>
  <c r="E99" i="14"/>
  <c r="D99" i="14"/>
  <c r="C99" i="14"/>
  <c r="N99" i="14" s="1"/>
  <c r="B99" i="14"/>
  <c r="M92" i="14"/>
  <c r="L92" i="14"/>
  <c r="K92" i="14"/>
  <c r="J92" i="14"/>
  <c r="J93" i="14" s="1"/>
  <c r="J96" i="14" s="1"/>
  <c r="I92" i="14"/>
  <c r="H92" i="14"/>
  <c r="G92" i="14"/>
  <c r="F92" i="14"/>
  <c r="E92" i="14"/>
  <c r="D92" i="14"/>
  <c r="C92" i="14"/>
  <c r="B92" i="14"/>
  <c r="B13" i="19"/>
  <c r="C13" i="19"/>
  <c r="D13" i="19"/>
  <c r="E13" i="19"/>
  <c r="F13" i="19"/>
  <c r="G13" i="19"/>
  <c r="H13" i="19"/>
  <c r="I13" i="19"/>
  <c r="J13" i="19"/>
  <c r="K13" i="19"/>
  <c r="L13" i="19"/>
  <c r="M13" i="19"/>
  <c r="M88" i="14"/>
  <c r="L88" i="14"/>
  <c r="K88" i="14"/>
  <c r="J88" i="14"/>
  <c r="I88" i="14"/>
  <c r="H88" i="14"/>
  <c r="H94" i="14" s="1"/>
  <c r="G88" i="14"/>
  <c r="F88" i="14"/>
  <c r="E88" i="14"/>
  <c r="D88" i="14"/>
  <c r="C88" i="14"/>
  <c r="B88" i="14"/>
  <c r="N98" i="14"/>
  <c r="N97" i="14"/>
  <c r="N95" i="14"/>
  <c r="M94" i="14"/>
  <c r="L94" i="14"/>
  <c r="I94" i="14"/>
  <c r="E94" i="14"/>
  <c r="D94" i="14"/>
  <c r="M93" i="14"/>
  <c r="M96" i="14" s="1"/>
  <c r="I93" i="14"/>
  <c r="I96" i="14" s="1"/>
  <c r="F93" i="14"/>
  <c r="F96" i="14" s="1"/>
  <c r="E93" i="14"/>
  <c r="E96" i="14" s="1"/>
  <c r="B93" i="14"/>
  <c r="B96" i="14" s="1"/>
  <c r="L93" i="14"/>
  <c r="L96" i="14" s="1"/>
  <c r="K93" i="14"/>
  <c r="K96" i="14" s="1"/>
  <c r="I100" i="14"/>
  <c r="H93" i="14"/>
  <c r="H96" i="14" s="1"/>
  <c r="E100" i="14"/>
  <c r="D93" i="14"/>
  <c r="D96" i="14" s="1"/>
  <c r="C93" i="14"/>
  <c r="C96" i="14" s="1"/>
  <c r="L90" i="14"/>
  <c r="K90" i="14"/>
  <c r="H90" i="14"/>
  <c r="G90" i="14"/>
  <c r="D90" i="14"/>
  <c r="C90" i="14"/>
  <c r="N89" i="14"/>
  <c r="M90" i="14"/>
  <c r="K94" i="14"/>
  <c r="J90" i="14"/>
  <c r="I90" i="14"/>
  <c r="G94" i="14"/>
  <c r="F90" i="14"/>
  <c r="E90" i="14"/>
  <c r="C94" i="14"/>
  <c r="B90" i="14"/>
  <c r="B12" i="19"/>
  <c r="C12" i="19"/>
  <c r="D12" i="19"/>
  <c r="E12" i="19"/>
  <c r="F12" i="19"/>
  <c r="G12" i="19"/>
  <c r="H12" i="19"/>
  <c r="I12" i="19"/>
  <c r="N12" i="19" s="1"/>
  <c r="J12" i="19"/>
  <c r="K12" i="19"/>
  <c r="L12" i="19"/>
  <c r="M12" i="19"/>
  <c r="L42" i="15"/>
  <c r="K42" i="15"/>
  <c r="H42" i="15"/>
  <c r="G42" i="15"/>
  <c r="D42" i="15"/>
  <c r="C42" i="15"/>
  <c r="N41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N40" i="15" s="1"/>
  <c r="M39" i="15"/>
  <c r="M42" i="15" s="1"/>
  <c r="L39" i="15"/>
  <c r="K39" i="15"/>
  <c r="J39" i="15"/>
  <c r="J42" i="15" s="1"/>
  <c r="I39" i="15"/>
  <c r="I42" i="15" s="1"/>
  <c r="H39" i="15"/>
  <c r="G39" i="15"/>
  <c r="F39" i="15"/>
  <c r="F42" i="15" s="1"/>
  <c r="E39" i="15"/>
  <c r="E42" i="15" s="1"/>
  <c r="D39" i="15"/>
  <c r="C39" i="15"/>
  <c r="B39" i="15"/>
  <c r="B42" i="15" s="1"/>
  <c r="B22" i="19"/>
  <c r="C22" i="19"/>
  <c r="D22" i="19"/>
  <c r="E22" i="19"/>
  <c r="F22" i="19"/>
  <c r="G22" i="19"/>
  <c r="H22" i="19"/>
  <c r="I22" i="19"/>
  <c r="J22" i="19"/>
  <c r="K22" i="19"/>
  <c r="L22" i="19"/>
  <c r="M22" i="19"/>
  <c r="B11" i="19"/>
  <c r="C11" i="19"/>
  <c r="D11" i="19"/>
  <c r="E11" i="19"/>
  <c r="N11" i="19" s="1"/>
  <c r="F11" i="19"/>
  <c r="G11" i="19"/>
  <c r="H11" i="19"/>
  <c r="I11" i="19"/>
  <c r="J11" i="19"/>
  <c r="K11" i="19"/>
  <c r="L11" i="19"/>
  <c r="M11" i="19"/>
  <c r="M63" i="13"/>
  <c r="L63" i="13"/>
  <c r="K63" i="13"/>
  <c r="J63" i="13"/>
  <c r="J65" i="13" s="1"/>
  <c r="J11" i="18" s="1"/>
  <c r="I63" i="13"/>
  <c r="H63" i="13"/>
  <c r="G63" i="13"/>
  <c r="G65" i="13" s="1"/>
  <c r="G11" i="18" s="1"/>
  <c r="D63" i="13"/>
  <c r="C63" i="13"/>
  <c r="B63" i="13"/>
  <c r="J62" i="13"/>
  <c r="E62" i="13"/>
  <c r="M62" i="13"/>
  <c r="L62" i="13"/>
  <c r="K62" i="13"/>
  <c r="I62" i="13"/>
  <c r="H62" i="13"/>
  <c r="H65" i="13" s="1"/>
  <c r="H11" i="18" s="1"/>
  <c r="G62" i="13"/>
  <c r="D62" i="13"/>
  <c r="C62" i="13"/>
  <c r="B62" i="13"/>
  <c r="F60" i="13"/>
  <c r="J60" i="13"/>
  <c r="G60" i="13"/>
  <c r="C60" i="13"/>
  <c r="B24" i="19"/>
  <c r="C24" i="19"/>
  <c r="D24" i="19"/>
  <c r="E24" i="19"/>
  <c r="E27" i="19" s="1"/>
  <c r="E28" i="19" s="1"/>
  <c r="F24" i="19"/>
  <c r="G24" i="19"/>
  <c r="H24" i="19"/>
  <c r="I24" i="19"/>
  <c r="J24" i="19"/>
  <c r="K24" i="19"/>
  <c r="L24" i="19"/>
  <c r="M24" i="19"/>
  <c r="B10" i="19"/>
  <c r="C10" i="19"/>
  <c r="D10" i="19"/>
  <c r="D16" i="19" s="1"/>
  <c r="E10" i="19"/>
  <c r="F10" i="19"/>
  <c r="G10" i="19"/>
  <c r="H10" i="19"/>
  <c r="I10" i="19"/>
  <c r="J10" i="19"/>
  <c r="K10" i="19"/>
  <c r="L10" i="19"/>
  <c r="L16" i="19" s="1"/>
  <c r="M10" i="19"/>
  <c r="F141" i="11"/>
  <c r="L140" i="11"/>
  <c r="H140" i="11"/>
  <c r="E140" i="11"/>
  <c r="B140" i="11"/>
  <c r="M138" i="11"/>
  <c r="J138" i="11"/>
  <c r="G138" i="11"/>
  <c r="M136" i="11"/>
  <c r="L136" i="11"/>
  <c r="K136" i="11"/>
  <c r="I136" i="11"/>
  <c r="G136" i="11"/>
  <c r="D136" i="11"/>
  <c r="C136" i="11"/>
  <c r="J136" i="11"/>
  <c r="H136" i="11"/>
  <c r="F136" i="11"/>
  <c r="E136" i="11"/>
  <c r="B136" i="11"/>
  <c r="B155" i="11"/>
  <c r="E150" i="11"/>
  <c r="M149" i="11"/>
  <c r="L149" i="11"/>
  <c r="K149" i="11"/>
  <c r="J149" i="11"/>
  <c r="I149" i="11"/>
  <c r="H149" i="11"/>
  <c r="G149" i="11"/>
  <c r="F149" i="11"/>
  <c r="N149" i="11" s="1"/>
  <c r="E149" i="11"/>
  <c r="D149" i="11"/>
  <c r="C149" i="11"/>
  <c r="B149" i="11"/>
  <c r="M148" i="11"/>
  <c r="L148" i="11"/>
  <c r="K148" i="11"/>
  <c r="J148" i="11"/>
  <c r="I148" i="11"/>
  <c r="H148" i="11"/>
  <c r="G148" i="11"/>
  <c r="F148" i="11"/>
  <c r="E148" i="11"/>
  <c r="D148" i="11"/>
  <c r="C148" i="11"/>
  <c r="B148" i="11"/>
  <c r="M146" i="11"/>
  <c r="L146" i="11"/>
  <c r="K146" i="11"/>
  <c r="J146" i="11"/>
  <c r="I146" i="11"/>
  <c r="H146" i="11"/>
  <c r="G146" i="11"/>
  <c r="C146" i="11"/>
  <c r="B146" i="11"/>
  <c r="M145" i="11"/>
  <c r="L145" i="11"/>
  <c r="K145" i="11"/>
  <c r="J145" i="11"/>
  <c r="I145" i="11"/>
  <c r="H145" i="11"/>
  <c r="G145" i="11"/>
  <c r="F145" i="11"/>
  <c r="E145" i="11"/>
  <c r="D145" i="11"/>
  <c r="C145" i="11"/>
  <c r="B145" i="11"/>
  <c r="H113" i="11"/>
  <c r="E113" i="11"/>
  <c r="B113" i="11"/>
  <c r="N151" i="11"/>
  <c r="N150" i="11"/>
  <c r="N148" i="11"/>
  <c r="N147" i="11"/>
  <c r="N146" i="11"/>
  <c r="N141" i="11"/>
  <c r="N140" i="11"/>
  <c r="M139" i="11"/>
  <c r="L139" i="11"/>
  <c r="K139" i="11"/>
  <c r="I139" i="11"/>
  <c r="H139" i="11"/>
  <c r="G139" i="11"/>
  <c r="E139" i="11"/>
  <c r="D139" i="11"/>
  <c r="N139" i="11" s="1"/>
  <c r="C139" i="11"/>
  <c r="B139" i="11"/>
  <c r="C138" i="11"/>
  <c r="N138" i="11" s="1"/>
  <c r="N137" i="11"/>
  <c r="K137" i="11"/>
  <c r="J137" i="11"/>
  <c r="B137" i="11"/>
  <c r="M142" i="11"/>
  <c r="L142" i="11"/>
  <c r="K142" i="11"/>
  <c r="J142" i="11"/>
  <c r="I142" i="11"/>
  <c r="H142" i="11"/>
  <c r="G142" i="11"/>
  <c r="F142" i="11"/>
  <c r="D142" i="11"/>
  <c r="C142" i="11"/>
  <c r="B142" i="11"/>
  <c r="M21" i="19"/>
  <c r="L21" i="19"/>
  <c r="K21" i="19"/>
  <c r="J21" i="19"/>
  <c r="J27" i="19" s="1"/>
  <c r="J28" i="19" s="1"/>
  <c r="I21" i="19"/>
  <c r="H21" i="19"/>
  <c r="G21" i="19"/>
  <c r="F21" i="19"/>
  <c r="N21" i="19" s="1"/>
  <c r="E21" i="19"/>
  <c r="D21" i="19"/>
  <c r="C21" i="19"/>
  <c r="C27" i="19" s="1"/>
  <c r="C28" i="19" s="1"/>
  <c r="B21" i="19"/>
  <c r="M20" i="19"/>
  <c r="L20" i="19"/>
  <c r="K20" i="19"/>
  <c r="K27" i="19" s="1"/>
  <c r="K28" i="19" s="1"/>
  <c r="J20" i="19"/>
  <c r="I20" i="19"/>
  <c r="H20" i="19"/>
  <c r="G20" i="19"/>
  <c r="F20" i="19"/>
  <c r="E20" i="19"/>
  <c r="D20" i="19"/>
  <c r="C20" i="19"/>
  <c r="B20" i="19"/>
  <c r="K16" i="19"/>
  <c r="C16" i="19"/>
  <c r="N26" i="19"/>
  <c r="N25" i="19"/>
  <c r="N22" i="19"/>
  <c r="D27" i="19"/>
  <c r="D28" i="19" s="1"/>
  <c r="N19" i="19"/>
  <c r="N14" i="19"/>
  <c r="I27" i="1" s="1"/>
  <c r="N13" i="19"/>
  <c r="H16" i="19"/>
  <c r="G16" i="19"/>
  <c r="M7" i="19"/>
  <c r="L7" i="19"/>
  <c r="K7" i="19"/>
  <c r="J7" i="19"/>
  <c r="I7" i="19"/>
  <c r="H7" i="19"/>
  <c r="G7" i="19"/>
  <c r="F7" i="19"/>
  <c r="E7" i="19"/>
  <c r="D7" i="19"/>
  <c r="C7" i="19"/>
  <c r="B7" i="19"/>
  <c r="N6" i="19"/>
  <c r="N5" i="19"/>
  <c r="N7" i="19" s="1"/>
  <c r="E13" i="18"/>
  <c r="F13" i="18"/>
  <c r="N13" i="18" s="1"/>
  <c r="G13" i="18"/>
  <c r="H13" i="18"/>
  <c r="I13" i="18"/>
  <c r="J13" i="18"/>
  <c r="K13" i="18"/>
  <c r="L13" i="18"/>
  <c r="M13" i="18"/>
  <c r="B13" i="18"/>
  <c r="C13" i="18"/>
  <c r="D13" i="18"/>
  <c r="C10" i="18"/>
  <c r="D10" i="18"/>
  <c r="E10" i="18"/>
  <c r="F10" i="18"/>
  <c r="G10" i="18"/>
  <c r="H10" i="18"/>
  <c r="I10" i="18"/>
  <c r="J10" i="18"/>
  <c r="K10" i="18"/>
  <c r="L10" i="18"/>
  <c r="M10" i="18"/>
  <c r="B23" i="18"/>
  <c r="C23" i="18"/>
  <c r="D23" i="18"/>
  <c r="C24" i="18"/>
  <c r="D24" i="18"/>
  <c r="F24" i="18"/>
  <c r="G24" i="18"/>
  <c r="I24" i="18"/>
  <c r="J24" i="18"/>
  <c r="K24" i="18"/>
  <c r="L24" i="18"/>
  <c r="M24" i="18"/>
  <c r="K23" i="18"/>
  <c r="L23" i="18"/>
  <c r="M23" i="18"/>
  <c r="H23" i="18"/>
  <c r="I23" i="18"/>
  <c r="J23" i="18"/>
  <c r="E23" i="18"/>
  <c r="F23" i="18"/>
  <c r="G23" i="18"/>
  <c r="M83" i="14"/>
  <c r="L83" i="14"/>
  <c r="K83" i="14"/>
  <c r="J83" i="14"/>
  <c r="I83" i="14"/>
  <c r="H83" i="14"/>
  <c r="G83" i="14"/>
  <c r="F83" i="14"/>
  <c r="E83" i="14"/>
  <c r="D83" i="14"/>
  <c r="C83" i="14"/>
  <c r="N83" i="14" s="1"/>
  <c r="B83" i="14"/>
  <c r="M76" i="14"/>
  <c r="L76" i="14"/>
  <c r="K76" i="14"/>
  <c r="J76" i="14"/>
  <c r="J77" i="14" s="1"/>
  <c r="J80" i="14" s="1"/>
  <c r="I76" i="14"/>
  <c r="H76" i="14"/>
  <c r="G76" i="14"/>
  <c r="G77" i="14" s="1"/>
  <c r="G80" i="14" s="1"/>
  <c r="F76" i="14"/>
  <c r="F77" i="14" s="1"/>
  <c r="F80" i="14" s="1"/>
  <c r="E76" i="14"/>
  <c r="D76" i="14"/>
  <c r="C76" i="14"/>
  <c r="B76" i="14"/>
  <c r="M72" i="14"/>
  <c r="L72" i="14"/>
  <c r="K72" i="14"/>
  <c r="J72" i="14"/>
  <c r="I72" i="14"/>
  <c r="H72" i="14"/>
  <c r="G72" i="14"/>
  <c r="F72" i="14"/>
  <c r="E72" i="14"/>
  <c r="D72" i="14"/>
  <c r="C72" i="14"/>
  <c r="B72" i="14"/>
  <c r="N82" i="14"/>
  <c r="N81" i="14"/>
  <c r="N79" i="14"/>
  <c r="M78" i="14"/>
  <c r="I78" i="14"/>
  <c r="E78" i="14"/>
  <c r="B77" i="14"/>
  <c r="B80" i="14" s="1"/>
  <c r="M77" i="14"/>
  <c r="M80" i="14" s="1"/>
  <c r="L77" i="14"/>
  <c r="L80" i="14" s="1"/>
  <c r="I77" i="14"/>
  <c r="I80" i="14" s="1"/>
  <c r="E77" i="14"/>
  <c r="E80" i="14" s="1"/>
  <c r="D77" i="14"/>
  <c r="D80" i="14" s="1"/>
  <c r="M74" i="14"/>
  <c r="L74" i="14"/>
  <c r="I74" i="14"/>
  <c r="H74" i="14"/>
  <c r="E74" i="14"/>
  <c r="D74" i="14"/>
  <c r="N73" i="14"/>
  <c r="L78" i="14"/>
  <c r="K74" i="14"/>
  <c r="J74" i="14"/>
  <c r="H78" i="14"/>
  <c r="G74" i="14"/>
  <c r="F74" i="14"/>
  <c r="D78" i="14"/>
  <c r="C74" i="14"/>
  <c r="B74" i="14"/>
  <c r="E12" i="18"/>
  <c r="F12" i="18"/>
  <c r="G12" i="18"/>
  <c r="H12" i="18"/>
  <c r="I12" i="18"/>
  <c r="J12" i="18"/>
  <c r="K12" i="18"/>
  <c r="L12" i="18"/>
  <c r="M12" i="18"/>
  <c r="B12" i="18"/>
  <c r="C12" i="18"/>
  <c r="D12" i="18"/>
  <c r="M32" i="15"/>
  <c r="L32" i="15"/>
  <c r="K32" i="15"/>
  <c r="J32" i="15"/>
  <c r="I32" i="15"/>
  <c r="H32" i="15"/>
  <c r="H35" i="15" s="1"/>
  <c r="G32" i="15"/>
  <c r="F32" i="15"/>
  <c r="E32" i="15"/>
  <c r="D32" i="15"/>
  <c r="C32" i="15"/>
  <c r="B32" i="15"/>
  <c r="L35" i="15"/>
  <c r="K35" i="15"/>
  <c r="G35" i="15"/>
  <c r="D35" i="15"/>
  <c r="C35" i="15"/>
  <c r="N34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N33" i="15" s="1"/>
  <c r="M35" i="15"/>
  <c r="J35" i="15"/>
  <c r="I35" i="15"/>
  <c r="F35" i="15"/>
  <c r="E35" i="15"/>
  <c r="B35" i="15"/>
  <c r="B22" i="18"/>
  <c r="C22" i="18"/>
  <c r="D22" i="18"/>
  <c r="E22" i="18"/>
  <c r="F22" i="18"/>
  <c r="G22" i="18"/>
  <c r="H22" i="18"/>
  <c r="I22" i="18"/>
  <c r="J22" i="18"/>
  <c r="K22" i="18"/>
  <c r="L22" i="18"/>
  <c r="M22" i="18"/>
  <c r="E11" i="18"/>
  <c r="I11" i="18"/>
  <c r="L55" i="13"/>
  <c r="L69" i="13"/>
  <c r="L67" i="13"/>
  <c r="H67" i="13"/>
  <c r="E67" i="13"/>
  <c r="B67" i="13"/>
  <c r="H61" i="13"/>
  <c r="E61" i="13"/>
  <c r="E65" i="13" s="1"/>
  <c r="B61" i="13"/>
  <c r="M60" i="13"/>
  <c r="M70" i="13"/>
  <c r="K70" i="13"/>
  <c r="J70" i="13"/>
  <c r="I70" i="13"/>
  <c r="G70" i="13"/>
  <c r="F70" i="13"/>
  <c r="D70" i="13"/>
  <c r="C70" i="13"/>
  <c r="N68" i="13"/>
  <c r="B70" i="13"/>
  <c r="N66" i="13"/>
  <c r="N64" i="13"/>
  <c r="I65" i="13"/>
  <c r="D65" i="13"/>
  <c r="D11" i="18" s="1"/>
  <c r="L61" i="13"/>
  <c r="L65" i="13" s="1"/>
  <c r="L11" i="18" s="1"/>
  <c r="B65" i="13"/>
  <c r="B11" i="18" s="1"/>
  <c r="M65" i="13"/>
  <c r="M11" i="18" s="1"/>
  <c r="F65" i="13"/>
  <c r="F11" i="18" s="1"/>
  <c r="F16" i="18" s="1"/>
  <c r="N60" i="13"/>
  <c r="E123" i="11"/>
  <c r="M122" i="11"/>
  <c r="L122" i="11"/>
  <c r="K122" i="11"/>
  <c r="J122" i="11"/>
  <c r="I122" i="11"/>
  <c r="H122" i="11"/>
  <c r="G122" i="11"/>
  <c r="F122" i="11"/>
  <c r="E122" i="11"/>
  <c r="D122" i="11"/>
  <c r="C122" i="11"/>
  <c r="N122" i="11" s="1"/>
  <c r="B122" i="11"/>
  <c r="M121" i="11"/>
  <c r="L121" i="11"/>
  <c r="K121" i="11"/>
  <c r="J121" i="11"/>
  <c r="I121" i="11"/>
  <c r="H121" i="11"/>
  <c r="G121" i="11"/>
  <c r="F121" i="11"/>
  <c r="E121" i="11"/>
  <c r="D121" i="11"/>
  <c r="C121" i="11"/>
  <c r="N121" i="11" s="1"/>
  <c r="B121" i="11"/>
  <c r="K119" i="11"/>
  <c r="J119" i="11"/>
  <c r="M119" i="11"/>
  <c r="I119" i="11"/>
  <c r="L119" i="11"/>
  <c r="H119" i="11"/>
  <c r="G119" i="11"/>
  <c r="C119" i="11"/>
  <c r="B119" i="11"/>
  <c r="M118" i="11"/>
  <c r="L118" i="11"/>
  <c r="K118" i="11"/>
  <c r="J118" i="11"/>
  <c r="I118" i="11"/>
  <c r="H118" i="11"/>
  <c r="G118" i="11"/>
  <c r="F118" i="11"/>
  <c r="E118" i="11"/>
  <c r="D118" i="11"/>
  <c r="C118" i="11"/>
  <c r="B118" i="11"/>
  <c r="F114" i="11"/>
  <c r="M112" i="11"/>
  <c r="L112" i="11"/>
  <c r="K112" i="11"/>
  <c r="K115" i="11" s="1"/>
  <c r="I112" i="11"/>
  <c r="H112" i="11"/>
  <c r="G112" i="11"/>
  <c r="G115" i="11" s="1"/>
  <c r="E112" i="11"/>
  <c r="D112" i="11"/>
  <c r="C112" i="11"/>
  <c r="B112" i="11"/>
  <c r="M111" i="11"/>
  <c r="J111" i="11"/>
  <c r="G111" i="11"/>
  <c r="C111" i="11"/>
  <c r="J110" i="11"/>
  <c r="M109" i="11"/>
  <c r="L109" i="11"/>
  <c r="L115" i="11" s="1"/>
  <c r="K109" i="11"/>
  <c r="J109" i="11"/>
  <c r="I109" i="11"/>
  <c r="H109" i="11"/>
  <c r="G109" i="11"/>
  <c r="F109" i="11"/>
  <c r="F115" i="11" s="1"/>
  <c r="E109" i="11"/>
  <c r="E115" i="11" s="1"/>
  <c r="D109" i="11"/>
  <c r="C109" i="11"/>
  <c r="C115" i="11" s="1"/>
  <c r="B109" i="11"/>
  <c r="B128" i="11"/>
  <c r="N124" i="11"/>
  <c r="N123" i="11"/>
  <c r="N120" i="11"/>
  <c r="N119" i="11"/>
  <c r="N114" i="11"/>
  <c r="L113" i="11"/>
  <c r="N113" i="11"/>
  <c r="N112" i="11"/>
  <c r="N111" i="11"/>
  <c r="K110" i="11"/>
  <c r="N110" i="11" s="1"/>
  <c r="B110" i="11"/>
  <c r="M115" i="11"/>
  <c r="J115" i="11"/>
  <c r="I115" i="11"/>
  <c r="H115" i="11"/>
  <c r="D115" i="11"/>
  <c r="N109" i="11"/>
  <c r="M21" i="18"/>
  <c r="L21" i="18"/>
  <c r="K21" i="18"/>
  <c r="J21" i="18"/>
  <c r="I21" i="18"/>
  <c r="H21" i="18"/>
  <c r="G21" i="18"/>
  <c r="F21" i="18"/>
  <c r="N21" i="18" s="1"/>
  <c r="E21" i="18"/>
  <c r="D21" i="18"/>
  <c r="C21" i="18"/>
  <c r="B21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N15" i="18"/>
  <c r="H28" i="1" s="1"/>
  <c r="E8" i="1"/>
  <c r="N14" i="17"/>
  <c r="G27" i="1" s="1"/>
  <c r="B13" i="17"/>
  <c r="N13" i="17" s="1"/>
  <c r="C13" i="17"/>
  <c r="D13" i="17"/>
  <c r="E13" i="17"/>
  <c r="F13" i="17"/>
  <c r="G13" i="17"/>
  <c r="H13" i="17"/>
  <c r="I13" i="17"/>
  <c r="J13" i="17"/>
  <c r="K13" i="17"/>
  <c r="L13" i="17"/>
  <c r="M13" i="17"/>
  <c r="K23" i="17"/>
  <c r="L23" i="17"/>
  <c r="M23" i="17"/>
  <c r="H23" i="17"/>
  <c r="I23" i="17"/>
  <c r="J23" i="17"/>
  <c r="E23" i="17"/>
  <c r="F23" i="17"/>
  <c r="G23" i="17"/>
  <c r="G27" i="17" s="1"/>
  <c r="G28" i="17" s="1"/>
  <c r="B23" i="17"/>
  <c r="C23" i="17"/>
  <c r="D23" i="17"/>
  <c r="M66" i="14"/>
  <c r="L66" i="14"/>
  <c r="K66" i="14"/>
  <c r="J66" i="14"/>
  <c r="I66" i="14"/>
  <c r="H66" i="14"/>
  <c r="G66" i="14"/>
  <c r="F66" i="14"/>
  <c r="N66" i="14" s="1"/>
  <c r="E66" i="14"/>
  <c r="D66" i="14"/>
  <c r="C66" i="14"/>
  <c r="B66" i="14"/>
  <c r="M63" i="14"/>
  <c r="L63" i="14"/>
  <c r="K63" i="14"/>
  <c r="J63" i="14"/>
  <c r="I63" i="14"/>
  <c r="H63" i="14"/>
  <c r="G63" i="14"/>
  <c r="F63" i="14"/>
  <c r="N63" i="14" s="1"/>
  <c r="E63" i="14"/>
  <c r="D63" i="14"/>
  <c r="C63" i="14"/>
  <c r="B63" i="14"/>
  <c r="M59" i="14"/>
  <c r="L59" i="14"/>
  <c r="K59" i="14"/>
  <c r="J59" i="14"/>
  <c r="I59" i="14"/>
  <c r="H59" i="14"/>
  <c r="G59" i="14"/>
  <c r="G60" i="14" s="1"/>
  <c r="F59" i="14"/>
  <c r="F60" i="14" s="1"/>
  <c r="E59" i="14"/>
  <c r="D59" i="14"/>
  <c r="C59" i="14"/>
  <c r="B59" i="14"/>
  <c r="M55" i="14"/>
  <c r="N55" i="14" s="1"/>
  <c r="N57" i="14" s="1"/>
  <c r="L55" i="14"/>
  <c r="K55" i="14"/>
  <c r="J55" i="14"/>
  <c r="I55" i="14"/>
  <c r="H55" i="14"/>
  <c r="G55" i="14"/>
  <c r="F55" i="14"/>
  <c r="E55" i="14"/>
  <c r="D55" i="14"/>
  <c r="C55" i="14"/>
  <c r="B55" i="14"/>
  <c r="N65" i="14"/>
  <c r="N64" i="14"/>
  <c r="N62" i="14"/>
  <c r="M61" i="14"/>
  <c r="I61" i="14"/>
  <c r="E61" i="14"/>
  <c r="J60" i="14"/>
  <c r="B60" i="14"/>
  <c r="M60" i="14"/>
  <c r="L60" i="14"/>
  <c r="I60" i="14"/>
  <c r="H60" i="14"/>
  <c r="E60" i="14"/>
  <c r="D60" i="14"/>
  <c r="L57" i="14"/>
  <c r="I57" i="14"/>
  <c r="H57" i="14"/>
  <c r="E57" i="14"/>
  <c r="D57" i="14"/>
  <c r="N56" i="14"/>
  <c r="L61" i="14"/>
  <c r="K57" i="14"/>
  <c r="J57" i="14"/>
  <c r="H61" i="14"/>
  <c r="G57" i="14"/>
  <c r="F57" i="14"/>
  <c r="D61" i="14"/>
  <c r="C57" i="14"/>
  <c r="B12" i="17"/>
  <c r="C12" i="17"/>
  <c r="D12" i="17"/>
  <c r="E12" i="17"/>
  <c r="E16" i="17" s="1"/>
  <c r="F12" i="17"/>
  <c r="G12" i="17"/>
  <c r="H12" i="17"/>
  <c r="I12" i="17"/>
  <c r="J12" i="17"/>
  <c r="K12" i="17"/>
  <c r="L12" i="17"/>
  <c r="M12" i="17"/>
  <c r="M26" i="15"/>
  <c r="L26" i="15"/>
  <c r="K26" i="15"/>
  <c r="J26" i="15"/>
  <c r="J28" i="15" s="1"/>
  <c r="I26" i="15"/>
  <c r="H26" i="15"/>
  <c r="G26" i="15"/>
  <c r="F26" i="15"/>
  <c r="N26" i="15" s="1"/>
  <c r="E26" i="15"/>
  <c r="D26" i="15"/>
  <c r="C26" i="15"/>
  <c r="B26" i="15"/>
  <c r="M25" i="15"/>
  <c r="L25" i="15"/>
  <c r="K25" i="15"/>
  <c r="J25" i="15"/>
  <c r="I25" i="15"/>
  <c r="H25" i="15"/>
  <c r="G25" i="15"/>
  <c r="G28" i="15" s="1"/>
  <c r="F25" i="15"/>
  <c r="E25" i="15"/>
  <c r="D25" i="15"/>
  <c r="C25" i="15"/>
  <c r="B25" i="15"/>
  <c r="L28" i="15"/>
  <c r="K28" i="15"/>
  <c r="H28" i="15"/>
  <c r="D28" i="15"/>
  <c r="C28" i="15"/>
  <c r="N27" i="15"/>
  <c r="I28" i="15"/>
  <c r="E28" i="15"/>
  <c r="M28" i="15"/>
  <c r="B28" i="15"/>
  <c r="B11" i="17"/>
  <c r="C11" i="17"/>
  <c r="D11" i="17"/>
  <c r="E11" i="17"/>
  <c r="N11" i="17" s="1"/>
  <c r="F11" i="17"/>
  <c r="G11" i="17"/>
  <c r="H11" i="17"/>
  <c r="I11" i="17"/>
  <c r="J11" i="17"/>
  <c r="K11" i="17"/>
  <c r="L11" i="17"/>
  <c r="M11" i="17"/>
  <c r="B22" i="17"/>
  <c r="C22" i="17"/>
  <c r="D22" i="17"/>
  <c r="F22" i="17"/>
  <c r="G22" i="17"/>
  <c r="H22" i="17"/>
  <c r="I22" i="17"/>
  <c r="J22" i="17"/>
  <c r="K22" i="17"/>
  <c r="M22" i="17"/>
  <c r="L53" i="13"/>
  <c r="H53" i="13"/>
  <c r="E53" i="13"/>
  <c r="B53" i="13"/>
  <c r="N55" i="13"/>
  <c r="M49" i="13"/>
  <c r="L49" i="13"/>
  <c r="K49" i="13"/>
  <c r="J49" i="13"/>
  <c r="J51" i="13" s="1"/>
  <c r="I49" i="13"/>
  <c r="H49" i="13"/>
  <c r="G49" i="13"/>
  <c r="D49" i="13"/>
  <c r="N49" i="13" s="1"/>
  <c r="C49" i="13"/>
  <c r="B49" i="13"/>
  <c r="M48" i="13"/>
  <c r="L48" i="13"/>
  <c r="K48" i="13"/>
  <c r="J48" i="13"/>
  <c r="I48" i="13"/>
  <c r="H48" i="13"/>
  <c r="G48" i="13"/>
  <c r="E48" i="13"/>
  <c r="E51" i="13" s="1"/>
  <c r="D48" i="13"/>
  <c r="C48" i="13"/>
  <c r="C51" i="13" s="1"/>
  <c r="B48" i="13"/>
  <c r="H47" i="13"/>
  <c r="E47" i="13"/>
  <c r="B47" i="13"/>
  <c r="L47" i="13"/>
  <c r="M46" i="13"/>
  <c r="J46" i="13"/>
  <c r="G46" i="13"/>
  <c r="F46" i="13"/>
  <c r="C46" i="13"/>
  <c r="M56" i="13"/>
  <c r="K56" i="13"/>
  <c r="J56" i="13"/>
  <c r="I56" i="13"/>
  <c r="G56" i="13"/>
  <c r="F56" i="13"/>
  <c r="D56" i="13"/>
  <c r="C56" i="13"/>
  <c r="N54" i="13"/>
  <c r="L56" i="13"/>
  <c r="L22" i="17" s="1"/>
  <c r="H56" i="13"/>
  <c r="E56" i="13"/>
  <c r="E22" i="17" s="1"/>
  <c r="B56" i="13"/>
  <c r="N52" i="13"/>
  <c r="L51" i="13"/>
  <c r="F51" i="13"/>
  <c r="N50" i="13"/>
  <c r="M51" i="13"/>
  <c r="I51" i="13"/>
  <c r="H51" i="13"/>
  <c r="B10" i="17"/>
  <c r="C10" i="17"/>
  <c r="D10" i="17"/>
  <c r="E10" i="17"/>
  <c r="N10" i="17" s="1"/>
  <c r="F10" i="17"/>
  <c r="G10" i="17"/>
  <c r="H10" i="17"/>
  <c r="I10" i="17"/>
  <c r="J10" i="17"/>
  <c r="K10" i="17"/>
  <c r="L10" i="17"/>
  <c r="M10" i="17"/>
  <c r="B24" i="17"/>
  <c r="C24" i="17"/>
  <c r="D24" i="17"/>
  <c r="N24" i="17" s="1"/>
  <c r="E24" i="17"/>
  <c r="F24" i="17"/>
  <c r="G24" i="17"/>
  <c r="H24" i="17"/>
  <c r="I24" i="17"/>
  <c r="J24" i="17"/>
  <c r="K24" i="17"/>
  <c r="L24" i="17"/>
  <c r="M24" i="17"/>
  <c r="B101" i="11"/>
  <c r="E96" i="11"/>
  <c r="M95" i="11"/>
  <c r="L95" i="11"/>
  <c r="K95" i="11"/>
  <c r="J95" i="11"/>
  <c r="I95" i="11"/>
  <c r="H95" i="11"/>
  <c r="G95" i="11"/>
  <c r="F95" i="11"/>
  <c r="E95" i="11"/>
  <c r="D95" i="11"/>
  <c r="C95" i="11"/>
  <c r="B95" i="11"/>
  <c r="M91" i="11"/>
  <c r="L91" i="11"/>
  <c r="K91" i="11"/>
  <c r="J91" i="11"/>
  <c r="I91" i="11"/>
  <c r="H91" i="11"/>
  <c r="G91" i="11"/>
  <c r="F91" i="11"/>
  <c r="E91" i="11"/>
  <c r="D91" i="11"/>
  <c r="C91" i="11"/>
  <c r="B91" i="11"/>
  <c r="F87" i="11"/>
  <c r="L86" i="11"/>
  <c r="H86" i="11"/>
  <c r="E86" i="11"/>
  <c r="B86" i="11"/>
  <c r="M85" i="11"/>
  <c r="L85" i="11"/>
  <c r="K85" i="11"/>
  <c r="I85" i="11"/>
  <c r="H85" i="11"/>
  <c r="G85" i="11"/>
  <c r="E85" i="11"/>
  <c r="D85" i="11"/>
  <c r="C85" i="11"/>
  <c r="B85" i="11"/>
  <c r="M84" i="11"/>
  <c r="J84" i="11"/>
  <c r="G84" i="11"/>
  <c r="C84" i="11"/>
  <c r="K83" i="11"/>
  <c r="J83" i="11"/>
  <c r="B83" i="11"/>
  <c r="M82" i="11"/>
  <c r="L82" i="11"/>
  <c r="K82" i="11"/>
  <c r="J82" i="11"/>
  <c r="I82" i="11"/>
  <c r="H82" i="11"/>
  <c r="H88" i="11" s="1"/>
  <c r="G82" i="11"/>
  <c r="F82" i="11"/>
  <c r="E82" i="11"/>
  <c r="D82" i="11"/>
  <c r="C82" i="11"/>
  <c r="B82" i="11"/>
  <c r="N97" i="11"/>
  <c r="N96" i="11"/>
  <c r="N94" i="11"/>
  <c r="N93" i="11"/>
  <c r="M92" i="11"/>
  <c r="L92" i="11"/>
  <c r="K92" i="11"/>
  <c r="J92" i="11"/>
  <c r="I92" i="11"/>
  <c r="H92" i="11"/>
  <c r="C92" i="11"/>
  <c r="B92" i="11"/>
  <c r="N87" i="11"/>
  <c r="L88" i="11"/>
  <c r="E7" i="1"/>
  <c r="N26" i="18"/>
  <c r="N25" i="18"/>
  <c r="N22" i="18"/>
  <c r="N20" i="18"/>
  <c r="N19" i="18"/>
  <c r="N14" i="18"/>
  <c r="H27" i="1" s="1"/>
  <c r="M7" i="18"/>
  <c r="L7" i="18"/>
  <c r="K7" i="18"/>
  <c r="J7" i="18"/>
  <c r="I7" i="18"/>
  <c r="H7" i="18"/>
  <c r="G7" i="18"/>
  <c r="F7" i="18"/>
  <c r="E7" i="18"/>
  <c r="D7" i="18"/>
  <c r="C7" i="18"/>
  <c r="B7" i="18"/>
  <c r="N6" i="18"/>
  <c r="N7" i="18" s="1"/>
  <c r="N5" i="18"/>
  <c r="M21" i="17"/>
  <c r="L21" i="17"/>
  <c r="K21" i="17"/>
  <c r="K27" i="17" s="1"/>
  <c r="K28" i="17" s="1"/>
  <c r="J21" i="17"/>
  <c r="I21" i="17"/>
  <c r="H21" i="17"/>
  <c r="G21" i="17"/>
  <c r="F21" i="17"/>
  <c r="E21" i="17"/>
  <c r="D21" i="17"/>
  <c r="C21" i="17"/>
  <c r="N21" i="17" s="1"/>
  <c r="B21" i="17"/>
  <c r="M20" i="17"/>
  <c r="L20" i="17"/>
  <c r="K20" i="17"/>
  <c r="J20" i="17"/>
  <c r="I20" i="17"/>
  <c r="H20" i="17"/>
  <c r="G20" i="17"/>
  <c r="F20" i="17"/>
  <c r="N20" i="17" s="1"/>
  <c r="E20" i="17"/>
  <c r="D20" i="17"/>
  <c r="C20" i="17"/>
  <c r="B20" i="17"/>
  <c r="G16" i="17"/>
  <c r="N15" i="17"/>
  <c r="G28" i="1" s="1"/>
  <c r="N26" i="17"/>
  <c r="N25" i="17"/>
  <c r="G38" i="1" s="1"/>
  <c r="C27" i="17"/>
  <c r="C28" i="17" s="1"/>
  <c r="N19" i="17"/>
  <c r="K16" i="17"/>
  <c r="H16" i="17"/>
  <c r="M7" i="17"/>
  <c r="L7" i="17"/>
  <c r="K7" i="17"/>
  <c r="K17" i="17" s="1"/>
  <c r="J7" i="17"/>
  <c r="I7" i="17"/>
  <c r="H7" i="17"/>
  <c r="G7" i="17"/>
  <c r="F7" i="17"/>
  <c r="E7" i="17"/>
  <c r="D7" i="17"/>
  <c r="C7" i="17"/>
  <c r="B7" i="17"/>
  <c r="N6" i="17"/>
  <c r="N7" i="17" s="1"/>
  <c r="N5" i="17"/>
  <c r="M49" i="14"/>
  <c r="L49" i="14"/>
  <c r="K49" i="14"/>
  <c r="J49" i="14"/>
  <c r="I49" i="14"/>
  <c r="H49" i="14"/>
  <c r="G49" i="14"/>
  <c r="F49" i="14"/>
  <c r="E49" i="14"/>
  <c r="D49" i="14"/>
  <c r="C49" i="14"/>
  <c r="B49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B39" i="7"/>
  <c r="M20" i="6"/>
  <c r="L20" i="6"/>
  <c r="K20" i="6"/>
  <c r="J20" i="6"/>
  <c r="I20" i="6"/>
  <c r="H20" i="6"/>
  <c r="G20" i="6"/>
  <c r="F20" i="6"/>
  <c r="E20" i="6"/>
  <c r="D20" i="6"/>
  <c r="C20" i="6"/>
  <c r="B20" i="6"/>
  <c r="B33" i="7"/>
  <c r="B32" i="7"/>
  <c r="B25" i="7"/>
  <c r="B24" i="7"/>
  <c r="B23" i="7"/>
  <c r="B20" i="7"/>
  <c r="B10" i="7"/>
  <c r="B9" i="7"/>
  <c r="B8" i="7"/>
  <c r="B5" i="7"/>
  <c r="M21" i="14"/>
  <c r="L21" i="14"/>
  <c r="K21" i="14"/>
  <c r="J21" i="14"/>
  <c r="I21" i="14"/>
  <c r="H21" i="14"/>
  <c r="G21" i="14"/>
  <c r="F21" i="14"/>
  <c r="E21" i="14"/>
  <c r="D21" i="14"/>
  <c r="C21" i="14"/>
  <c r="B21" i="14"/>
  <c r="M11" i="15"/>
  <c r="L11" i="15"/>
  <c r="K11" i="15"/>
  <c r="J11" i="15"/>
  <c r="I11" i="15"/>
  <c r="H11" i="15"/>
  <c r="G11" i="15"/>
  <c r="F11" i="15"/>
  <c r="E11" i="15"/>
  <c r="D11" i="15"/>
  <c r="C11" i="15"/>
  <c r="B11" i="15"/>
  <c r="B23" i="6"/>
  <c r="B13" i="6"/>
  <c r="C13" i="6"/>
  <c r="D13" i="6"/>
  <c r="E13" i="6"/>
  <c r="N13" i="6" s="1"/>
  <c r="F13" i="6"/>
  <c r="G13" i="6"/>
  <c r="H13" i="6"/>
  <c r="I13" i="6"/>
  <c r="J13" i="6"/>
  <c r="K13" i="6"/>
  <c r="L13" i="6"/>
  <c r="M13" i="6"/>
  <c r="N44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M44" i="14"/>
  <c r="M50" i="14" s="1"/>
  <c r="M23" i="6" s="1"/>
  <c r="L44" i="14"/>
  <c r="L50" i="14" s="1"/>
  <c r="L23" i="6" s="1"/>
  <c r="K44" i="14"/>
  <c r="K50" i="14" s="1"/>
  <c r="K23" i="6" s="1"/>
  <c r="J44" i="14"/>
  <c r="I44" i="14"/>
  <c r="I50" i="14" s="1"/>
  <c r="I23" i="6" s="1"/>
  <c r="H44" i="14"/>
  <c r="H50" i="14" s="1"/>
  <c r="H23" i="6" s="1"/>
  <c r="G44" i="14"/>
  <c r="F40" i="14"/>
  <c r="E44" i="14"/>
  <c r="E50" i="14" s="1"/>
  <c r="E23" i="6" s="1"/>
  <c r="D44" i="14"/>
  <c r="D50" i="14" s="1"/>
  <c r="D23" i="6" s="1"/>
  <c r="C40" i="14"/>
  <c r="B44" i="14"/>
  <c r="B50" i="14" s="1"/>
  <c r="F11" i="6"/>
  <c r="D11" i="6"/>
  <c r="G22" i="6"/>
  <c r="M22" i="6"/>
  <c r="L39" i="13"/>
  <c r="H39" i="13"/>
  <c r="H42" i="13" s="1"/>
  <c r="H22" i="6" s="1"/>
  <c r="E39" i="13"/>
  <c r="B39" i="13"/>
  <c r="B42" i="13" s="1"/>
  <c r="B22" i="6" s="1"/>
  <c r="L33" i="13"/>
  <c r="H33" i="13"/>
  <c r="E33" i="13"/>
  <c r="B33" i="13"/>
  <c r="N33" i="13" s="1"/>
  <c r="M42" i="13"/>
  <c r="K42" i="13"/>
  <c r="K22" i="6" s="1"/>
  <c r="J42" i="13"/>
  <c r="J22" i="6" s="1"/>
  <c r="I42" i="13"/>
  <c r="I22" i="6" s="1"/>
  <c r="G42" i="13"/>
  <c r="F42" i="13"/>
  <c r="F22" i="6" s="1"/>
  <c r="D42" i="13"/>
  <c r="D22" i="6" s="1"/>
  <c r="C42" i="13"/>
  <c r="C22" i="6" s="1"/>
  <c r="N41" i="13"/>
  <c r="N40" i="13"/>
  <c r="L42" i="13"/>
  <c r="L22" i="6" s="1"/>
  <c r="E42" i="13"/>
  <c r="E22" i="6" s="1"/>
  <c r="N22" i="6" s="1"/>
  <c r="N38" i="13"/>
  <c r="F37" i="13"/>
  <c r="N36" i="13"/>
  <c r="N35" i="13"/>
  <c r="M34" i="13"/>
  <c r="M37" i="13" s="1"/>
  <c r="M11" i="6" s="1"/>
  <c r="L34" i="13"/>
  <c r="K34" i="13"/>
  <c r="K37" i="13" s="1"/>
  <c r="K11" i="6" s="1"/>
  <c r="J34" i="13"/>
  <c r="J37" i="13" s="1"/>
  <c r="J11" i="6" s="1"/>
  <c r="I34" i="13"/>
  <c r="I37" i="13" s="1"/>
  <c r="I11" i="6" s="1"/>
  <c r="H34" i="13"/>
  <c r="G34" i="13"/>
  <c r="G37" i="13" s="1"/>
  <c r="G11" i="6" s="1"/>
  <c r="E34" i="13"/>
  <c r="D34" i="13"/>
  <c r="D37" i="13" s="1"/>
  <c r="C34" i="13"/>
  <c r="B34" i="13"/>
  <c r="H37" i="13"/>
  <c r="H11" i="6" s="1"/>
  <c r="C32" i="13"/>
  <c r="E70" i="11"/>
  <c r="N70" i="11" s="1"/>
  <c r="M69" i="11"/>
  <c r="L69" i="11"/>
  <c r="K69" i="11"/>
  <c r="J69" i="11"/>
  <c r="I69" i="11"/>
  <c r="H69" i="11"/>
  <c r="G69" i="11"/>
  <c r="F69" i="11"/>
  <c r="E69" i="11"/>
  <c r="D69" i="11"/>
  <c r="C69" i="11"/>
  <c r="B69" i="11"/>
  <c r="M65" i="11"/>
  <c r="L65" i="11"/>
  <c r="K65" i="11"/>
  <c r="J65" i="11"/>
  <c r="I65" i="11"/>
  <c r="H65" i="11"/>
  <c r="G65" i="11"/>
  <c r="F65" i="11"/>
  <c r="E65" i="11"/>
  <c r="D65" i="11"/>
  <c r="C65" i="11"/>
  <c r="B65" i="11"/>
  <c r="F61" i="11"/>
  <c r="N61" i="11" s="1"/>
  <c r="G58" i="11"/>
  <c r="M56" i="11"/>
  <c r="L56" i="11"/>
  <c r="L62" i="11" s="1"/>
  <c r="L10" i="6" s="1"/>
  <c r="K56" i="11"/>
  <c r="J56" i="11"/>
  <c r="I56" i="11"/>
  <c r="H56" i="11"/>
  <c r="G56" i="11"/>
  <c r="F56" i="11"/>
  <c r="E56" i="11"/>
  <c r="D56" i="11"/>
  <c r="C56" i="11"/>
  <c r="B56" i="11"/>
  <c r="N71" i="11"/>
  <c r="N68" i="11"/>
  <c r="N67" i="11"/>
  <c r="M66" i="11"/>
  <c r="L66" i="11"/>
  <c r="K66" i="11"/>
  <c r="J66" i="11"/>
  <c r="I66" i="11"/>
  <c r="H66" i="11"/>
  <c r="C66" i="11"/>
  <c r="B66" i="11"/>
  <c r="L60" i="11"/>
  <c r="H60" i="11"/>
  <c r="E60" i="11"/>
  <c r="B60" i="11"/>
  <c r="M59" i="11"/>
  <c r="L59" i="11"/>
  <c r="K59" i="11"/>
  <c r="I59" i="11"/>
  <c r="H59" i="11"/>
  <c r="G59" i="11"/>
  <c r="E59" i="11"/>
  <c r="D59" i="11"/>
  <c r="C59" i="11"/>
  <c r="B59" i="11"/>
  <c r="M58" i="11"/>
  <c r="J58" i="11"/>
  <c r="C58" i="11"/>
  <c r="K57" i="11"/>
  <c r="J57" i="11"/>
  <c r="B57" i="11"/>
  <c r="B12" i="6"/>
  <c r="C12" i="6"/>
  <c r="D12" i="6"/>
  <c r="N12" i="6" s="1"/>
  <c r="E12" i="6"/>
  <c r="F12" i="6"/>
  <c r="G12" i="6"/>
  <c r="H12" i="6"/>
  <c r="I12" i="6"/>
  <c r="J12" i="6"/>
  <c r="K12" i="6"/>
  <c r="L12" i="6"/>
  <c r="M12" i="6"/>
  <c r="M18" i="15"/>
  <c r="L18" i="15"/>
  <c r="K18" i="15"/>
  <c r="J18" i="15"/>
  <c r="I18" i="15"/>
  <c r="H18" i="15"/>
  <c r="G18" i="15"/>
  <c r="F18" i="15"/>
  <c r="E18" i="15"/>
  <c r="D18" i="15"/>
  <c r="B18" i="15"/>
  <c r="C18" i="15"/>
  <c r="L21" i="15"/>
  <c r="K21" i="15"/>
  <c r="H21" i="15"/>
  <c r="G21" i="15"/>
  <c r="D21" i="15"/>
  <c r="C21" i="15"/>
  <c r="N20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N19" i="15" s="1"/>
  <c r="M21" i="15"/>
  <c r="J21" i="15"/>
  <c r="I21" i="15"/>
  <c r="F21" i="15"/>
  <c r="E21" i="15"/>
  <c r="B21" i="15"/>
  <c r="B21" i="6"/>
  <c r="C21" i="6"/>
  <c r="D21" i="6"/>
  <c r="E21" i="6"/>
  <c r="F21" i="6"/>
  <c r="G21" i="6"/>
  <c r="H21" i="6"/>
  <c r="I21" i="6"/>
  <c r="J21" i="6"/>
  <c r="K21" i="6"/>
  <c r="L21" i="6"/>
  <c r="M21" i="6"/>
  <c r="N26" i="6"/>
  <c r="N25" i="6"/>
  <c r="N19" i="6"/>
  <c r="M7" i="6"/>
  <c r="L7" i="6"/>
  <c r="K7" i="6"/>
  <c r="J7" i="6"/>
  <c r="I7" i="6"/>
  <c r="H7" i="6"/>
  <c r="G7" i="6"/>
  <c r="F7" i="6"/>
  <c r="E7" i="6"/>
  <c r="D7" i="6"/>
  <c r="C7" i="6"/>
  <c r="B7" i="6"/>
  <c r="N6" i="6"/>
  <c r="N7" i="6" s="1"/>
  <c r="N5" i="6"/>
  <c r="I45" i="7"/>
  <c r="F43" i="7"/>
  <c r="F34" i="7"/>
  <c r="F14" i="7"/>
  <c r="H41" i="7"/>
  <c r="J39" i="7"/>
  <c r="J40" i="7" s="1"/>
  <c r="J42" i="7" s="1"/>
  <c r="M27" i="14"/>
  <c r="I27" i="14"/>
  <c r="C27" i="14"/>
  <c r="D27" i="14"/>
  <c r="B27" i="14"/>
  <c r="E27" i="14"/>
  <c r="L27" i="14"/>
  <c r="K27" i="14"/>
  <c r="J27" i="14"/>
  <c r="H27" i="14"/>
  <c r="G27" i="14"/>
  <c r="F27" i="14"/>
  <c r="N27" i="13"/>
  <c r="N26" i="13"/>
  <c r="F23" i="13"/>
  <c r="F11" i="5" s="1"/>
  <c r="E25" i="13"/>
  <c r="E28" i="13" s="1"/>
  <c r="B25" i="13"/>
  <c r="B28" i="13" s="1"/>
  <c r="J20" i="13"/>
  <c r="J23" i="13" s="1"/>
  <c r="J11" i="5" s="1"/>
  <c r="D20" i="13"/>
  <c r="D23" i="13" s="1"/>
  <c r="D11" i="5" s="1"/>
  <c r="C20" i="13"/>
  <c r="B20" i="13"/>
  <c r="L19" i="13"/>
  <c r="L23" i="13" s="1"/>
  <c r="L11" i="5" s="1"/>
  <c r="E19" i="13"/>
  <c r="H19" i="13"/>
  <c r="H23" i="13" s="1"/>
  <c r="H11" i="5" s="1"/>
  <c r="B19" i="13"/>
  <c r="B23" i="13" s="1"/>
  <c r="B11" i="5" s="1"/>
  <c r="C18" i="13"/>
  <c r="C23" i="13" s="1"/>
  <c r="C11" i="5" s="1"/>
  <c r="M28" i="13"/>
  <c r="M22" i="5" s="1"/>
  <c r="K28" i="13"/>
  <c r="K22" i="5" s="1"/>
  <c r="J28" i="13"/>
  <c r="J22" i="5" s="1"/>
  <c r="I28" i="13"/>
  <c r="I22" i="5" s="1"/>
  <c r="G28" i="13"/>
  <c r="G22" i="5" s="1"/>
  <c r="F28" i="13"/>
  <c r="F22" i="5" s="1"/>
  <c r="D28" i="13"/>
  <c r="C28" i="13"/>
  <c r="L25" i="13"/>
  <c r="L28" i="13" s="1"/>
  <c r="L22" i="5" s="1"/>
  <c r="H25" i="13"/>
  <c r="H28" i="13" s="1"/>
  <c r="H22" i="5" s="1"/>
  <c r="M20" i="13"/>
  <c r="M23" i="13" s="1"/>
  <c r="M11" i="5" s="1"/>
  <c r="L20" i="13"/>
  <c r="K20" i="13"/>
  <c r="K23" i="13" s="1"/>
  <c r="K11" i="5" s="1"/>
  <c r="I20" i="13"/>
  <c r="I23" i="13" s="1"/>
  <c r="I11" i="5" s="1"/>
  <c r="H20" i="13"/>
  <c r="G20" i="13"/>
  <c r="G23" i="13" s="1"/>
  <c r="G11" i="5" s="1"/>
  <c r="E20" i="13"/>
  <c r="M12" i="15"/>
  <c r="L12" i="15"/>
  <c r="K12" i="15"/>
  <c r="J12" i="15"/>
  <c r="I12" i="15"/>
  <c r="H12" i="15"/>
  <c r="G12" i="15"/>
  <c r="F12" i="15"/>
  <c r="E12" i="15"/>
  <c r="D12" i="15"/>
  <c r="C12" i="15"/>
  <c r="B12" i="15"/>
  <c r="N12" i="15" s="1"/>
  <c r="E44" i="11"/>
  <c r="N44" i="11" s="1"/>
  <c r="M43" i="11"/>
  <c r="L43" i="11"/>
  <c r="K43" i="11"/>
  <c r="J43" i="11"/>
  <c r="I43" i="11"/>
  <c r="H43" i="11"/>
  <c r="G43" i="11"/>
  <c r="F43" i="11"/>
  <c r="E43" i="11"/>
  <c r="D43" i="11"/>
  <c r="C43" i="11"/>
  <c r="B43" i="11"/>
  <c r="B40" i="11"/>
  <c r="M33" i="11"/>
  <c r="L33" i="11"/>
  <c r="I33" i="11"/>
  <c r="H33" i="11"/>
  <c r="G33" i="11"/>
  <c r="E33" i="11"/>
  <c r="D33" i="11"/>
  <c r="C33" i="11"/>
  <c r="B33" i="11"/>
  <c r="C40" i="11"/>
  <c r="B31" i="11"/>
  <c r="E34" i="11"/>
  <c r="B34" i="11"/>
  <c r="M32" i="11"/>
  <c r="C32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D30" i="11"/>
  <c r="D36" i="11" s="1"/>
  <c r="D10" i="5" s="1"/>
  <c r="C30" i="11"/>
  <c r="B30" i="11"/>
  <c r="E30" i="11"/>
  <c r="N45" i="11"/>
  <c r="N42" i="11"/>
  <c r="N41" i="11"/>
  <c r="M40" i="11"/>
  <c r="L40" i="11"/>
  <c r="K40" i="11"/>
  <c r="J40" i="11"/>
  <c r="I40" i="11"/>
  <c r="H40" i="11"/>
  <c r="G40" i="11"/>
  <c r="F35" i="11"/>
  <c r="N35" i="11" s="1"/>
  <c r="L34" i="11"/>
  <c r="H34" i="11"/>
  <c r="K33" i="11"/>
  <c r="J32" i="11"/>
  <c r="K31" i="11"/>
  <c r="J31" i="11"/>
  <c r="M30" i="11"/>
  <c r="L30" i="11"/>
  <c r="K30" i="11"/>
  <c r="J30" i="11"/>
  <c r="I30" i="11"/>
  <c r="H30" i="11"/>
  <c r="G30" i="11"/>
  <c r="F30" i="11"/>
  <c r="N14" i="5"/>
  <c r="E27" i="1" s="1"/>
  <c r="N26" i="5"/>
  <c r="N25" i="5"/>
  <c r="N19" i="5"/>
  <c r="M7" i="5"/>
  <c r="L7" i="5"/>
  <c r="K7" i="5"/>
  <c r="J7" i="5"/>
  <c r="I7" i="5"/>
  <c r="H7" i="5"/>
  <c r="G7" i="5"/>
  <c r="F7" i="5"/>
  <c r="E7" i="5"/>
  <c r="D7" i="5"/>
  <c r="C7" i="5"/>
  <c r="B7" i="5"/>
  <c r="N6" i="5"/>
  <c r="N5" i="5"/>
  <c r="N7" i="5" s="1"/>
  <c r="M29" i="2"/>
  <c r="L29" i="2"/>
  <c r="K29" i="2"/>
  <c r="J29" i="2"/>
  <c r="I29" i="2"/>
  <c r="H29" i="2"/>
  <c r="G29" i="2"/>
  <c r="F29" i="2"/>
  <c r="E29" i="2"/>
  <c r="D29" i="2"/>
  <c r="C29" i="2"/>
  <c r="B29" i="2"/>
  <c r="M28" i="2"/>
  <c r="L28" i="2"/>
  <c r="K28" i="2"/>
  <c r="J28" i="2"/>
  <c r="I28" i="2"/>
  <c r="H28" i="2"/>
  <c r="G28" i="2"/>
  <c r="F28" i="2"/>
  <c r="E28" i="2"/>
  <c r="D28" i="2"/>
  <c r="C28" i="2"/>
  <c r="B28" i="2"/>
  <c r="G14" i="13"/>
  <c r="F14" i="13"/>
  <c r="E14" i="13"/>
  <c r="D14" i="13"/>
  <c r="C14" i="13"/>
  <c r="B14" i="13"/>
  <c r="L11" i="13"/>
  <c r="H11" i="13"/>
  <c r="M6" i="13"/>
  <c r="L6" i="13"/>
  <c r="K6" i="13"/>
  <c r="J6" i="13"/>
  <c r="I6" i="13"/>
  <c r="H6" i="13"/>
  <c r="G6" i="13"/>
  <c r="E6" i="13"/>
  <c r="L5" i="13"/>
  <c r="H5" i="13"/>
  <c r="N14" i="4"/>
  <c r="D27" i="1" s="1"/>
  <c r="E12" i="4"/>
  <c r="F12" i="4"/>
  <c r="G12" i="4"/>
  <c r="H12" i="4"/>
  <c r="I12" i="4"/>
  <c r="J12" i="4"/>
  <c r="K12" i="4"/>
  <c r="L12" i="4"/>
  <c r="M12" i="4"/>
  <c r="M4" i="15"/>
  <c r="L4" i="15"/>
  <c r="K4" i="15"/>
  <c r="J4" i="15"/>
  <c r="I4" i="15"/>
  <c r="H4" i="15"/>
  <c r="N5" i="15"/>
  <c r="M5" i="15"/>
  <c r="L5" i="15"/>
  <c r="K5" i="15"/>
  <c r="J5" i="15"/>
  <c r="I5" i="15"/>
  <c r="H5" i="15"/>
  <c r="G5" i="15"/>
  <c r="F5" i="15"/>
  <c r="E5" i="15"/>
  <c r="G4" i="15"/>
  <c r="F4" i="15"/>
  <c r="E4" i="15"/>
  <c r="E18" i="11"/>
  <c r="E21" i="9"/>
  <c r="E17" i="11" s="1"/>
  <c r="F17" i="11"/>
  <c r="G17" i="11"/>
  <c r="H17" i="11"/>
  <c r="I17" i="11"/>
  <c r="J17" i="11"/>
  <c r="K17" i="11"/>
  <c r="L17" i="11"/>
  <c r="M17" i="11"/>
  <c r="D21" i="9"/>
  <c r="C21" i="9"/>
  <c r="D21" i="11"/>
  <c r="C21" i="11"/>
  <c r="B21" i="11"/>
  <c r="M14" i="11"/>
  <c r="L14" i="11"/>
  <c r="K14" i="11"/>
  <c r="J14" i="11"/>
  <c r="H14" i="11"/>
  <c r="I14" i="11"/>
  <c r="G14" i="11"/>
  <c r="D33" i="7"/>
  <c r="B31" i="7"/>
  <c r="D31" i="7" s="1"/>
  <c r="B30" i="7"/>
  <c r="D32" i="7"/>
  <c r="E32" i="7" s="1"/>
  <c r="M7" i="11"/>
  <c r="L7" i="11"/>
  <c r="K7" i="11"/>
  <c r="I7" i="11"/>
  <c r="H7" i="11"/>
  <c r="G7" i="11"/>
  <c r="J6" i="11"/>
  <c r="K5" i="11"/>
  <c r="J5" i="11"/>
  <c r="L8" i="11"/>
  <c r="H8" i="11"/>
  <c r="M4" i="11"/>
  <c r="L4" i="11"/>
  <c r="K4" i="11"/>
  <c r="I4" i="11"/>
  <c r="F9" i="11"/>
  <c r="J4" i="11"/>
  <c r="H4" i="11"/>
  <c r="G4" i="11"/>
  <c r="F4" i="11"/>
  <c r="E4" i="11"/>
  <c r="M10" i="14"/>
  <c r="J10" i="14"/>
  <c r="I10" i="14"/>
  <c r="H10" i="14"/>
  <c r="F10" i="14"/>
  <c r="G4" i="14"/>
  <c r="G10" i="14" s="1"/>
  <c r="H4" i="14"/>
  <c r="M4" i="14"/>
  <c r="L4" i="14"/>
  <c r="L10" i="14" s="1"/>
  <c r="K4" i="14"/>
  <c r="K10" i="14" s="1"/>
  <c r="J4" i="14"/>
  <c r="I4" i="14"/>
  <c r="E4" i="14"/>
  <c r="E10" i="14" s="1"/>
  <c r="F4" i="14"/>
  <c r="C20" i="2"/>
  <c r="N15" i="2"/>
  <c r="K29" i="3"/>
  <c r="J29" i="3"/>
  <c r="H29" i="3"/>
  <c r="G29" i="3"/>
  <c r="F29" i="3"/>
  <c r="D29" i="3"/>
  <c r="C29" i="3"/>
  <c r="B29" i="3"/>
  <c r="H7" i="3"/>
  <c r="H18" i="3" s="1"/>
  <c r="G7" i="3"/>
  <c r="G18" i="3" s="1"/>
  <c r="D7" i="3"/>
  <c r="D18" i="3" s="1"/>
  <c r="C7" i="3"/>
  <c r="C18" i="3" s="1"/>
  <c r="I29" i="3"/>
  <c r="E29" i="3"/>
  <c r="N28" i="3"/>
  <c r="N27" i="3"/>
  <c r="N26" i="3"/>
  <c r="N25" i="3"/>
  <c r="N24" i="3"/>
  <c r="N23" i="3"/>
  <c r="N22" i="3"/>
  <c r="N21" i="3"/>
  <c r="M29" i="3"/>
  <c r="L29" i="3"/>
  <c r="M17" i="3"/>
  <c r="L17" i="3"/>
  <c r="K17" i="3"/>
  <c r="J17" i="3"/>
  <c r="J18" i="3" s="1"/>
  <c r="I17" i="3"/>
  <c r="H17" i="3"/>
  <c r="G17" i="3"/>
  <c r="F17" i="3"/>
  <c r="E17" i="3"/>
  <c r="D17" i="3"/>
  <c r="C17" i="3"/>
  <c r="B17" i="3"/>
  <c r="N16" i="3"/>
  <c r="N15" i="3"/>
  <c r="N14" i="3"/>
  <c r="N13" i="3"/>
  <c r="N12" i="3"/>
  <c r="N11" i="3"/>
  <c r="N10" i="3"/>
  <c r="J7" i="3"/>
  <c r="I7" i="3"/>
  <c r="F7" i="3"/>
  <c r="F18" i="3" s="1"/>
  <c r="E7" i="3"/>
  <c r="E18" i="3" s="1"/>
  <c r="N6" i="3"/>
  <c r="M7" i="3"/>
  <c r="L7" i="3"/>
  <c r="L18" i="3" s="1"/>
  <c r="K7" i="3"/>
  <c r="K18" i="3" s="1"/>
  <c r="B7" i="3"/>
  <c r="M7" i="2"/>
  <c r="M18" i="2" s="1"/>
  <c r="K7" i="2"/>
  <c r="C6" i="2"/>
  <c r="N28" i="2"/>
  <c r="N27" i="2"/>
  <c r="N26" i="2"/>
  <c r="N25" i="2"/>
  <c r="N24" i="2"/>
  <c r="N23" i="2"/>
  <c r="N22" i="2"/>
  <c r="N21" i="2"/>
  <c r="M17" i="2"/>
  <c r="L17" i="2"/>
  <c r="K17" i="2"/>
  <c r="J17" i="2"/>
  <c r="J18" i="2" s="1"/>
  <c r="I17" i="2"/>
  <c r="H17" i="2"/>
  <c r="G17" i="2"/>
  <c r="F17" i="2"/>
  <c r="E17" i="2"/>
  <c r="D17" i="2"/>
  <c r="C17" i="2"/>
  <c r="B17" i="2"/>
  <c r="N16" i="2"/>
  <c r="N14" i="2"/>
  <c r="N13" i="2"/>
  <c r="N12" i="2"/>
  <c r="N11" i="2"/>
  <c r="N10" i="2"/>
  <c r="L7" i="2"/>
  <c r="J7" i="2"/>
  <c r="I7" i="2"/>
  <c r="I18" i="2" s="1"/>
  <c r="H7" i="2"/>
  <c r="G7" i="2"/>
  <c r="F7" i="2"/>
  <c r="E7" i="2"/>
  <c r="E18" i="2" s="1"/>
  <c r="D7" i="2"/>
  <c r="D18" i="2" s="1"/>
  <c r="B7" i="2"/>
  <c r="B18" i="2" s="1"/>
  <c r="N23" i="21" l="1"/>
  <c r="M27" i="21"/>
  <c r="M28" i="21" s="1"/>
  <c r="J16" i="21"/>
  <c r="G128" i="14"/>
  <c r="L128" i="14"/>
  <c r="L132" i="14"/>
  <c r="B132" i="14"/>
  <c r="F132" i="14"/>
  <c r="J132" i="14"/>
  <c r="K125" i="14"/>
  <c r="K128" i="14" s="1"/>
  <c r="D132" i="14"/>
  <c r="B122" i="14"/>
  <c r="F122" i="14"/>
  <c r="J122" i="14"/>
  <c r="H125" i="14"/>
  <c r="H128" i="14" s="1"/>
  <c r="C126" i="14"/>
  <c r="G126" i="14"/>
  <c r="G132" i="14" s="1"/>
  <c r="K126" i="14"/>
  <c r="E132" i="14"/>
  <c r="I132" i="14"/>
  <c r="M132" i="14"/>
  <c r="N120" i="14"/>
  <c r="N122" i="14" s="1"/>
  <c r="C132" i="14"/>
  <c r="N124" i="14"/>
  <c r="I27" i="21"/>
  <c r="I28" i="21" s="1"/>
  <c r="L16" i="21"/>
  <c r="L17" i="21" s="1"/>
  <c r="L32" i="21" s="1"/>
  <c r="H16" i="21"/>
  <c r="H17" i="21" s="1"/>
  <c r="H32" i="21" s="1"/>
  <c r="N99" i="13"/>
  <c r="N90" i="13"/>
  <c r="N91" i="13"/>
  <c r="C94" i="13"/>
  <c r="N94" i="13" s="1"/>
  <c r="N96" i="13"/>
  <c r="D16" i="21"/>
  <c r="D17" i="21" s="1"/>
  <c r="D32" i="21" s="1"/>
  <c r="M16" i="21"/>
  <c r="M17" i="21" s="1"/>
  <c r="M32" i="21" s="1"/>
  <c r="I16" i="21"/>
  <c r="I17" i="21" s="1"/>
  <c r="E16" i="21"/>
  <c r="N53" i="15"/>
  <c r="N56" i="15" s="1"/>
  <c r="E27" i="21"/>
  <c r="E28" i="21" s="1"/>
  <c r="N10" i="21"/>
  <c r="E17" i="21"/>
  <c r="N196" i="11"/>
  <c r="D206" i="11"/>
  <c r="H206" i="11"/>
  <c r="H207" i="11" s="1"/>
  <c r="H210" i="11" s="1"/>
  <c r="L206" i="11"/>
  <c r="L207" i="11" s="1"/>
  <c r="L210" i="11" s="1"/>
  <c r="I207" i="11"/>
  <c r="I210" i="11" s="1"/>
  <c r="C206" i="11"/>
  <c r="C207" i="11" s="1"/>
  <c r="C210" i="11" s="1"/>
  <c r="G206" i="11"/>
  <c r="G207" i="11" s="1"/>
  <c r="G210" i="11" s="1"/>
  <c r="K206" i="11"/>
  <c r="K207" i="11" s="1"/>
  <c r="K210" i="11" s="1"/>
  <c r="E206" i="11"/>
  <c r="E207" i="11" s="1"/>
  <c r="E210" i="11" s="1"/>
  <c r="I206" i="11"/>
  <c r="M206" i="11"/>
  <c r="M207" i="11" s="1"/>
  <c r="M210" i="11" s="1"/>
  <c r="F207" i="11"/>
  <c r="F210" i="11" s="1"/>
  <c r="D207" i="11"/>
  <c r="D210" i="11" s="1"/>
  <c r="F206" i="11"/>
  <c r="J206" i="11"/>
  <c r="J207" i="11" s="1"/>
  <c r="J210" i="11" s="1"/>
  <c r="B196" i="11"/>
  <c r="N199" i="11"/>
  <c r="N21" i="21"/>
  <c r="F27" i="21"/>
  <c r="F28" i="21" s="1"/>
  <c r="J17" i="21"/>
  <c r="J32" i="21" s="1"/>
  <c r="F16" i="21"/>
  <c r="F17" i="21" s="1"/>
  <c r="C17" i="21"/>
  <c r="C32" i="21" s="1"/>
  <c r="K17" i="21"/>
  <c r="K32" i="21" s="1"/>
  <c r="G17" i="21"/>
  <c r="G32" i="21" s="1"/>
  <c r="B16" i="21"/>
  <c r="B27" i="21"/>
  <c r="M27" i="20"/>
  <c r="M28" i="20" s="1"/>
  <c r="H112" i="14"/>
  <c r="H116" i="14" s="1"/>
  <c r="C109" i="14"/>
  <c r="C112" i="14" s="1"/>
  <c r="N112" i="14" s="1"/>
  <c r="K109" i="14"/>
  <c r="K112" i="14" s="1"/>
  <c r="B110" i="14"/>
  <c r="F110" i="14"/>
  <c r="F116" i="14" s="1"/>
  <c r="J110" i="14"/>
  <c r="J116" i="14" s="1"/>
  <c r="D116" i="14"/>
  <c r="L116" i="14"/>
  <c r="B106" i="14"/>
  <c r="C110" i="14"/>
  <c r="G110" i="14"/>
  <c r="G116" i="14" s="1"/>
  <c r="K110" i="14"/>
  <c r="E116" i="14"/>
  <c r="I116" i="14"/>
  <c r="M116" i="14"/>
  <c r="N108" i="14"/>
  <c r="N46" i="15"/>
  <c r="N49" i="15" s="1"/>
  <c r="I27" i="20"/>
  <c r="I28" i="20" s="1"/>
  <c r="E27" i="20"/>
  <c r="E28" i="20" s="1"/>
  <c r="F17" i="20"/>
  <c r="J17" i="20"/>
  <c r="C17" i="20"/>
  <c r="K17" i="20"/>
  <c r="L16" i="20"/>
  <c r="L17" i="20" s="1"/>
  <c r="L32" i="20" s="1"/>
  <c r="D16" i="20"/>
  <c r="D17" i="20" s="1"/>
  <c r="D32" i="20" s="1"/>
  <c r="N85" i="13"/>
  <c r="N78" i="13"/>
  <c r="L80" i="13"/>
  <c r="G80" i="13"/>
  <c r="N77" i="13"/>
  <c r="C80" i="13"/>
  <c r="N80" i="13" s="1"/>
  <c r="N84" i="13"/>
  <c r="N76" i="13"/>
  <c r="N82" i="13"/>
  <c r="E16" i="20"/>
  <c r="E17" i="20" s="1"/>
  <c r="I16" i="20"/>
  <c r="I17" i="20" s="1"/>
  <c r="M16" i="20"/>
  <c r="M17" i="20" s="1"/>
  <c r="M32" i="20" s="1"/>
  <c r="C27" i="20"/>
  <c r="C28" i="20" s="1"/>
  <c r="C32" i="20" s="1"/>
  <c r="K27" i="20"/>
  <c r="K28" i="20" s="1"/>
  <c r="N173" i="11"/>
  <c r="N166" i="11"/>
  <c r="C179" i="11"/>
  <c r="C180" i="11" s="1"/>
  <c r="C183" i="11" s="1"/>
  <c r="G179" i="11"/>
  <c r="G180" i="11" s="1"/>
  <c r="G183" i="11" s="1"/>
  <c r="K179" i="11"/>
  <c r="K180" i="11" s="1"/>
  <c r="K183" i="11" s="1"/>
  <c r="D179" i="11"/>
  <c r="D180" i="11" s="1"/>
  <c r="D183" i="11" s="1"/>
  <c r="H179" i="11"/>
  <c r="H180" i="11" s="1"/>
  <c r="H183" i="11" s="1"/>
  <c r="L179" i="11"/>
  <c r="L180" i="11" s="1"/>
  <c r="L183" i="11" s="1"/>
  <c r="I180" i="11"/>
  <c r="I183" i="11" s="1"/>
  <c r="E179" i="11"/>
  <c r="E180" i="11" s="1"/>
  <c r="E183" i="11" s="1"/>
  <c r="I179" i="11"/>
  <c r="M179" i="11"/>
  <c r="M180" i="11" s="1"/>
  <c r="M183" i="11" s="1"/>
  <c r="J180" i="11"/>
  <c r="J183" i="11" s="1"/>
  <c r="B179" i="11"/>
  <c r="F179" i="11"/>
  <c r="F180" i="11" s="1"/>
  <c r="F183" i="11" s="1"/>
  <c r="J179" i="11"/>
  <c r="N163" i="11"/>
  <c r="N169" i="11" s="1"/>
  <c r="N172" i="11"/>
  <c r="F27" i="20"/>
  <c r="F28" i="20" s="1"/>
  <c r="F32" i="20" s="1"/>
  <c r="N20" i="20"/>
  <c r="J32" i="20"/>
  <c r="G17" i="20"/>
  <c r="G32" i="20" s="1"/>
  <c r="H17" i="20"/>
  <c r="H32" i="20" s="1"/>
  <c r="B16" i="20"/>
  <c r="B27" i="20"/>
  <c r="N23" i="19"/>
  <c r="B27" i="19"/>
  <c r="B28" i="19" s="1"/>
  <c r="M27" i="19"/>
  <c r="M28" i="19" s="1"/>
  <c r="I27" i="19"/>
  <c r="I28" i="19" s="1"/>
  <c r="M100" i="14"/>
  <c r="C100" i="14"/>
  <c r="K100" i="14"/>
  <c r="G93" i="14"/>
  <c r="G96" i="14" s="1"/>
  <c r="N96" i="14" s="1"/>
  <c r="B94" i="14"/>
  <c r="F94" i="14"/>
  <c r="F100" i="14" s="1"/>
  <c r="J94" i="14"/>
  <c r="J100" i="14" s="1"/>
  <c r="D100" i="14"/>
  <c r="H100" i="14"/>
  <c r="L100" i="14"/>
  <c r="N88" i="14"/>
  <c r="N90" i="14" s="1"/>
  <c r="N93" i="14"/>
  <c r="N92" i="14"/>
  <c r="N39" i="15"/>
  <c r="N42" i="15" s="1"/>
  <c r="M16" i="19"/>
  <c r="M17" i="19" s="1"/>
  <c r="I16" i="19"/>
  <c r="I17" i="19" s="1"/>
  <c r="E16" i="19"/>
  <c r="E17" i="19" s="1"/>
  <c r="E32" i="19" s="1"/>
  <c r="N62" i="13"/>
  <c r="K65" i="13"/>
  <c r="K11" i="18" s="1"/>
  <c r="K16" i="18"/>
  <c r="K17" i="18" s="1"/>
  <c r="J16" i="18"/>
  <c r="J17" i="18" s="1"/>
  <c r="J27" i="18" s="1"/>
  <c r="J28" i="18" s="1"/>
  <c r="G16" i="18"/>
  <c r="N24" i="19"/>
  <c r="N10" i="19"/>
  <c r="H17" i="19"/>
  <c r="F16" i="19"/>
  <c r="J16" i="19"/>
  <c r="J17" i="19" s="1"/>
  <c r="J32" i="19" s="1"/>
  <c r="E142" i="11"/>
  <c r="D152" i="11"/>
  <c r="D153" i="11" s="1"/>
  <c r="D156" i="11" s="1"/>
  <c r="H152" i="11"/>
  <c r="H153" i="11" s="1"/>
  <c r="H156" i="11" s="1"/>
  <c r="L152" i="11"/>
  <c r="L153" i="11" s="1"/>
  <c r="L156" i="11" s="1"/>
  <c r="B152" i="11"/>
  <c r="B153" i="11" s="1"/>
  <c r="B156" i="11" s="1"/>
  <c r="B157" i="11" s="1"/>
  <c r="C155" i="11" s="1"/>
  <c r="F152" i="11"/>
  <c r="F153" i="11" s="1"/>
  <c r="F156" i="11" s="1"/>
  <c r="J152" i="11"/>
  <c r="J153" i="11" s="1"/>
  <c r="J156" i="11" s="1"/>
  <c r="E152" i="11"/>
  <c r="E153" i="11" s="1"/>
  <c r="E156" i="11" s="1"/>
  <c r="I152" i="11"/>
  <c r="M152" i="11"/>
  <c r="M153" i="11" s="1"/>
  <c r="M156" i="11" s="1"/>
  <c r="I153" i="11"/>
  <c r="I156" i="11" s="1"/>
  <c r="C152" i="11"/>
  <c r="C153" i="11" s="1"/>
  <c r="C156" i="11" s="1"/>
  <c r="G152" i="11"/>
  <c r="G153" i="11" s="1"/>
  <c r="G156" i="11" s="1"/>
  <c r="K152" i="11"/>
  <c r="K153" i="11" s="1"/>
  <c r="K156" i="11" s="1"/>
  <c r="N136" i="11"/>
  <c r="N142" i="11" s="1"/>
  <c r="N145" i="11"/>
  <c r="F27" i="19"/>
  <c r="F28" i="19" s="1"/>
  <c r="G27" i="19"/>
  <c r="G28" i="19" s="1"/>
  <c r="F17" i="19"/>
  <c r="N15" i="19"/>
  <c r="I28" i="1" s="1"/>
  <c r="C17" i="19"/>
  <c r="C32" i="19" s="1"/>
  <c r="G17" i="19"/>
  <c r="K17" i="19"/>
  <c r="K32" i="19" s="1"/>
  <c r="D17" i="19"/>
  <c r="D32" i="19" s="1"/>
  <c r="L17" i="19"/>
  <c r="L32" i="19" s="1"/>
  <c r="H32" i="19"/>
  <c r="B16" i="19"/>
  <c r="N20" i="19"/>
  <c r="N23" i="18"/>
  <c r="L16" i="18"/>
  <c r="L17" i="18" s="1"/>
  <c r="L27" i="18" s="1"/>
  <c r="L28" i="18" s="1"/>
  <c r="H16" i="18"/>
  <c r="H17" i="18" s="1"/>
  <c r="N72" i="14"/>
  <c r="N74" i="14" s="1"/>
  <c r="C77" i="14"/>
  <c r="C80" i="14" s="1"/>
  <c r="N80" i="14" s="1"/>
  <c r="K77" i="14"/>
  <c r="K80" i="14" s="1"/>
  <c r="B78" i="14"/>
  <c r="B84" i="14" s="1"/>
  <c r="F78" i="14"/>
  <c r="F84" i="14" s="1"/>
  <c r="J78" i="14"/>
  <c r="J84" i="14" s="1"/>
  <c r="D84" i="14"/>
  <c r="L84" i="14"/>
  <c r="H77" i="14"/>
  <c r="H80" i="14" s="1"/>
  <c r="C78" i="14"/>
  <c r="G78" i="14"/>
  <c r="G84" i="14" s="1"/>
  <c r="K78" i="14"/>
  <c r="E84" i="14"/>
  <c r="I84" i="14"/>
  <c r="M84" i="14"/>
  <c r="N76" i="14"/>
  <c r="N12" i="18"/>
  <c r="I16" i="18"/>
  <c r="I17" i="18" s="1"/>
  <c r="I27" i="18" s="1"/>
  <c r="I28" i="18" s="1"/>
  <c r="N32" i="15"/>
  <c r="N35" i="15" s="1"/>
  <c r="G17" i="18"/>
  <c r="G27" i="18" s="1"/>
  <c r="G28" i="18" s="1"/>
  <c r="G32" i="18" s="1"/>
  <c r="F17" i="18"/>
  <c r="F27" i="18" s="1"/>
  <c r="F28" i="18" s="1"/>
  <c r="F32" i="18" s="1"/>
  <c r="D16" i="18"/>
  <c r="D17" i="18" s="1"/>
  <c r="M16" i="18"/>
  <c r="M17" i="18" s="1"/>
  <c r="E16" i="18"/>
  <c r="E17" i="18" s="1"/>
  <c r="E27" i="17"/>
  <c r="E28" i="17" s="1"/>
  <c r="N22" i="17"/>
  <c r="N63" i="13"/>
  <c r="C65" i="13"/>
  <c r="H70" i="13"/>
  <c r="N67" i="13"/>
  <c r="N61" i="13"/>
  <c r="E70" i="13"/>
  <c r="C125" i="11"/>
  <c r="D125" i="11"/>
  <c r="H125" i="11"/>
  <c r="H126" i="11" s="1"/>
  <c r="L125" i="11"/>
  <c r="L126" i="11" s="1"/>
  <c r="L129" i="11" s="1"/>
  <c r="E125" i="11"/>
  <c r="E126" i="11" s="1"/>
  <c r="I125" i="11"/>
  <c r="I126" i="11" s="1"/>
  <c r="I129" i="11" s="1"/>
  <c r="M125" i="11"/>
  <c r="M126" i="11" s="1"/>
  <c r="M129" i="11" s="1"/>
  <c r="G125" i="11"/>
  <c r="G126" i="11" s="1"/>
  <c r="G129" i="11" s="1"/>
  <c r="K125" i="11"/>
  <c r="K126" i="11" s="1"/>
  <c r="K129" i="11" s="1"/>
  <c r="D126" i="11"/>
  <c r="D129" i="11" s="1"/>
  <c r="N115" i="11"/>
  <c r="F125" i="11"/>
  <c r="F126" i="11" s="1"/>
  <c r="F129" i="11" s="1"/>
  <c r="J125" i="11"/>
  <c r="J126" i="11" s="1"/>
  <c r="J129" i="11" s="1"/>
  <c r="C126" i="11"/>
  <c r="C129" i="11" s="1"/>
  <c r="B115" i="11"/>
  <c r="B10" i="18" s="1"/>
  <c r="B16" i="18" s="1"/>
  <c r="B17" i="18" s="1"/>
  <c r="N118" i="11"/>
  <c r="F16" i="17"/>
  <c r="J16" i="17"/>
  <c r="J27" i="17"/>
  <c r="J28" i="17" s="1"/>
  <c r="N23" i="17"/>
  <c r="L27" i="17"/>
  <c r="L28" i="17" s="1"/>
  <c r="H27" i="17"/>
  <c r="H28" i="17" s="1"/>
  <c r="D27" i="17"/>
  <c r="D28" i="17" s="1"/>
  <c r="L67" i="14"/>
  <c r="M57" i="14"/>
  <c r="C60" i="14"/>
  <c r="K60" i="14"/>
  <c r="B61" i="14"/>
  <c r="F61" i="14"/>
  <c r="F67" i="14" s="1"/>
  <c r="J61" i="14"/>
  <c r="J67" i="14" s="1"/>
  <c r="D67" i="14"/>
  <c r="H67" i="14"/>
  <c r="B57" i="14"/>
  <c r="C61" i="14"/>
  <c r="G61" i="14"/>
  <c r="G67" i="14" s="1"/>
  <c r="K61" i="14"/>
  <c r="K67" i="14" s="1"/>
  <c r="E67" i="14"/>
  <c r="I67" i="14"/>
  <c r="M67" i="14"/>
  <c r="N59" i="14"/>
  <c r="N12" i="17"/>
  <c r="D16" i="17"/>
  <c r="L16" i="17"/>
  <c r="L17" i="17" s="1"/>
  <c r="H17" i="17"/>
  <c r="F28" i="15"/>
  <c r="N25" i="15"/>
  <c r="N28" i="15" s="1"/>
  <c r="M16" i="17"/>
  <c r="M17" i="17" s="1"/>
  <c r="I16" i="17"/>
  <c r="I17" i="17" s="1"/>
  <c r="M27" i="17"/>
  <c r="M28" i="17" s="1"/>
  <c r="I27" i="17"/>
  <c r="I28" i="17" s="1"/>
  <c r="G51" i="13"/>
  <c r="K51" i="13"/>
  <c r="D51" i="13"/>
  <c r="E37" i="13"/>
  <c r="E11" i="6" s="1"/>
  <c r="N47" i="13"/>
  <c r="N48" i="13"/>
  <c r="E23" i="13"/>
  <c r="E11" i="5" s="1"/>
  <c r="C37" i="13"/>
  <c r="C11" i="6" s="1"/>
  <c r="N56" i="13"/>
  <c r="N53" i="13"/>
  <c r="N46" i="13"/>
  <c r="B51" i="13"/>
  <c r="N51" i="13" s="1"/>
  <c r="H62" i="11"/>
  <c r="H10" i="6" s="1"/>
  <c r="F62" i="11"/>
  <c r="F10" i="6" s="1"/>
  <c r="F16" i="6" s="1"/>
  <c r="F17" i="6" s="1"/>
  <c r="J62" i="11"/>
  <c r="J10" i="6" s="1"/>
  <c r="C88" i="11"/>
  <c r="C98" i="11" s="1"/>
  <c r="C99" i="11" s="1"/>
  <c r="C102" i="11" s="1"/>
  <c r="G88" i="11"/>
  <c r="K88" i="11"/>
  <c r="N86" i="11"/>
  <c r="D88" i="11"/>
  <c r="D98" i="11" s="1"/>
  <c r="D99" i="11" s="1"/>
  <c r="D102" i="11" s="1"/>
  <c r="I36" i="11"/>
  <c r="I10" i="5" s="1"/>
  <c r="E88" i="11"/>
  <c r="E98" i="11" s="1"/>
  <c r="E99" i="11" s="1"/>
  <c r="E102" i="11" s="1"/>
  <c r="I88" i="11"/>
  <c r="I98" i="11" s="1"/>
  <c r="I99" i="11" s="1"/>
  <c r="I102" i="11" s="1"/>
  <c r="M88" i="11"/>
  <c r="M98" i="11" s="1"/>
  <c r="M99" i="11" s="1"/>
  <c r="M102" i="11" s="1"/>
  <c r="N84" i="11"/>
  <c r="N85" i="11"/>
  <c r="N91" i="11"/>
  <c r="N95" i="11"/>
  <c r="B88" i="11"/>
  <c r="F88" i="11"/>
  <c r="F98" i="11" s="1"/>
  <c r="F99" i="11" s="1"/>
  <c r="F102" i="11" s="1"/>
  <c r="J88" i="11"/>
  <c r="J98" i="11" s="1"/>
  <c r="J99" i="11" s="1"/>
  <c r="J102" i="11" s="1"/>
  <c r="N83" i="11"/>
  <c r="G98" i="11"/>
  <c r="G99" i="11" s="1"/>
  <c r="G102" i="11" s="1"/>
  <c r="K98" i="11"/>
  <c r="K99" i="11" s="1"/>
  <c r="K102" i="11" s="1"/>
  <c r="H98" i="11"/>
  <c r="H99" i="11" s="1"/>
  <c r="H102" i="11" s="1"/>
  <c r="L98" i="11"/>
  <c r="L99" i="11" s="1"/>
  <c r="L102" i="11" s="1"/>
  <c r="B98" i="11"/>
  <c r="N82" i="11"/>
  <c r="N92" i="11"/>
  <c r="F27" i="17"/>
  <c r="F28" i="17" s="1"/>
  <c r="K32" i="17"/>
  <c r="E17" i="17"/>
  <c r="C16" i="17"/>
  <c r="C17" i="17" s="1"/>
  <c r="C32" i="17" s="1"/>
  <c r="J17" i="17"/>
  <c r="G17" i="17"/>
  <c r="G32" i="17" s="1"/>
  <c r="D17" i="17"/>
  <c r="F17" i="17"/>
  <c r="B16" i="17"/>
  <c r="B27" i="17"/>
  <c r="N27" i="14"/>
  <c r="J50" i="14"/>
  <c r="J23" i="6" s="1"/>
  <c r="G50" i="14"/>
  <c r="G23" i="6" s="1"/>
  <c r="B40" i="14"/>
  <c r="J40" i="14"/>
  <c r="F44" i="14"/>
  <c r="F50" i="14" s="1"/>
  <c r="F23" i="6" s="1"/>
  <c r="K40" i="14"/>
  <c r="C44" i="14"/>
  <c r="C50" i="14" s="1"/>
  <c r="C23" i="6" s="1"/>
  <c r="D40" i="14"/>
  <c r="H40" i="14"/>
  <c r="L40" i="14"/>
  <c r="G40" i="14"/>
  <c r="E40" i="14"/>
  <c r="I40" i="14"/>
  <c r="M40" i="14"/>
  <c r="C22" i="5"/>
  <c r="D22" i="5"/>
  <c r="E22" i="5"/>
  <c r="B22" i="5"/>
  <c r="N34" i="13"/>
  <c r="L37" i="13"/>
  <c r="L11" i="6" s="1"/>
  <c r="L16" i="6" s="1"/>
  <c r="L17" i="6" s="1"/>
  <c r="N42" i="13"/>
  <c r="N39" i="13"/>
  <c r="N32" i="13"/>
  <c r="B37" i="13"/>
  <c r="J16" i="6"/>
  <c r="J17" i="6" s="1"/>
  <c r="H16" i="6"/>
  <c r="H17" i="6" s="1"/>
  <c r="I62" i="11"/>
  <c r="I10" i="6" s="1"/>
  <c r="I16" i="6" s="1"/>
  <c r="I17" i="6" s="1"/>
  <c r="N60" i="11"/>
  <c r="N58" i="11"/>
  <c r="E62" i="11"/>
  <c r="E72" i="11" s="1"/>
  <c r="N66" i="11"/>
  <c r="C62" i="11"/>
  <c r="G62" i="11"/>
  <c r="K36" i="11"/>
  <c r="K10" i="5" s="1"/>
  <c r="N57" i="11"/>
  <c r="D62" i="11"/>
  <c r="D10" i="6" s="1"/>
  <c r="D16" i="6" s="1"/>
  <c r="D17" i="6" s="1"/>
  <c r="N69" i="11"/>
  <c r="B62" i="11"/>
  <c r="M62" i="11"/>
  <c r="K62" i="11"/>
  <c r="E36" i="11"/>
  <c r="E10" i="5" s="1"/>
  <c r="N59" i="11"/>
  <c r="L36" i="11"/>
  <c r="L10" i="5" s="1"/>
  <c r="B36" i="11"/>
  <c r="N43" i="11"/>
  <c r="D46" i="11"/>
  <c r="D47" i="11" s="1"/>
  <c r="D24" i="5" s="1"/>
  <c r="F72" i="11"/>
  <c r="F73" i="11" s="1"/>
  <c r="J72" i="11"/>
  <c r="J73" i="11"/>
  <c r="H72" i="11"/>
  <c r="H73" i="11" s="1"/>
  <c r="L72" i="11"/>
  <c r="L73" i="11" s="1"/>
  <c r="I72" i="11"/>
  <c r="I73" i="11" s="1"/>
  <c r="N56" i="11"/>
  <c r="N62" i="11" s="1"/>
  <c r="N65" i="11"/>
  <c r="N18" i="15"/>
  <c r="N21" i="15" s="1"/>
  <c r="N14" i="6"/>
  <c r="F27" i="1" s="1"/>
  <c r="N15" i="6"/>
  <c r="F28" i="1" s="1"/>
  <c r="N20" i="6"/>
  <c r="N21" i="6"/>
  <c r="D39" i="7"/>
  <c r="C39" i="7"/>
  <c r="E39" i="7" s="1"/>
  <c r="E33" i="7"/>
  <c r="N11" i="5"/>
  <c r="N15" i="5"/>
  <c r="E28" i="1" s="1"/>
  <c r="M36" i="11"/>
  <c r="M10" i="5" s="1"/>
  <c r="N33" i="11"/>
  <c r="H36" i="11"/>
  <c r="H10" i="5" s="1"/>
  <c r="N40" i="11"/>
  <c r="F36" i="11"/>
  <c r="F10" i="5" s="1"/>
  <c r="J36" i="11"/>
  <c r="J10" i="5" s="1"/>
  <c r="N31" i="11"/>
  <c r="G36" i="11"/>
  <c r="G10" i="5" s="1"/>
  <c r="N34" i="11"/>
  <c r="C36" i="11"/>
  <c r="N32" i="11"/>
  <c r="I46" i="11"/>
  <c r="I47" i="11" s="1"/>
  <c r="N30" i="11"/>
  <c r="N39" i="11"/>
  <c r="N29" i="3"/>
  <c r="M18" i="3"/>
  <c r="I18" i="3"/>
  <c r="N17" i="3"/>
  <c r="B18" i="3"/>
  <c r="B33" i="3" s="1"/>
  <c r="D30" i="7"/>
  <c r="E31" i="7"/>
  <c r="C30" i="7"/>
  <c r="K18" i="2"/>
  <c r="K33" i="2" s="1"/>
  <c r="B33" i="2"/>
  <c r="F18" i="2"/>
  <c r="F33" i="2" s="1"/>
  <c r="C7" i="2"/>
  <c r="G18" i="2"/>
  <c r="G33" i="2" s="1"/>
  <c r="N6" i="2"/>
  <c r="H18" i="2"/>
  <c r="H33" i="2" s="1"/>
  <c r="L18" i="2"/>
  <c r="L33" i="2" s="1"/>
  <c r="N17" i="2"/>
  <c r="C33" i="3"/>
  <c r="G33" i="3"/>
  <c r="E33" i="3"/>
  <c r="K33" i="3"/>
  <c r="D33" i="3"/>
  <c r="H33" i="3"/>
  <c r="F33" i="3"/>
  <c r="L33" i="3"/>
  <c r="J33" i="3"/>
  <c r="M33" i="3"/>
  <c r="I33" i="3"/>
  <c r="N5" i="3"/>
  <c r="N20" i="3"/>
  <c r="C32" i="1" s="1"/>
  <c r="N20" i="2"/>
  <c r="B32" i="1" s="1"/>
  <c r="I33" i="2"/>
  <c r="J33" i="2"/>
  <c r="E33" i="2"/>
  <c r="M33" i="2"/>
  <c r="N5" i="2"/>
  <c r="B19" i="1" s="1"/>
  <c r="N19" i="4"/>
  <c r="D32" i="1" s="1"/>
  <c r="D24" i="7"/>
  <c r="E24" i="7" s="1"/>
  <c r="D23" i="7"/>
  <c r="E23" i="7" s="1"/>
  <c r="D22" i="7"/>
  <c r="E22" i="7" s="1"/>
  <c r="B21" i="7"/>
  <c r="B19" i="7"/>
  <c r="B18" i="7"/>
  <c r="D18" i="7" s="1"/>
  <c r="D7" i="7"/>
  <c r="E7" i="7" s="1"/>
  <c r="B6" i="7"/>
  <c r="C6" i="7" s="1"/>
  <c r="D6" i="10"/>
  <c r="N7" i="3" l="1"/>
  <c r="N18" i="3" s="1"/>
  <c r="C21" i="1"/>
  <c r="C19" i="1"/>
  <c r="E32" i="17"/>
  <c r="J32" i="17"/>
  <c r="E32" i="21"/>
  <c r="I32" i="21"/>
  <c r="N128" i="14"/>
  <c r="N126" i="14"/>
  <c r="K132" i="14"/>
  <c r="N125" i="14"/>
  <c r="H132" i="14"/>
  <c r="F32" i="21"/>
  <c r="B206" i="11"/>
  <c r="N16" i="21"/>
  <c r="B28" i="21"/>
  <c r="N28" i="21" s="1"/>
  <c r="N27" i="21"/>
  <c r="B17" i="21"/>
  <c r="E32" i="20"/>
  <c r="I32" i="20"/>
  <c r="N109" i="14"/>
  <c r="K116" i="14"/>
  <c r="N110" i="14"/>
  <c r="C116" i="14"/>
  <c r="N116" i="14"/>
  <c r="B116" i="14"/>
  <c r="K32" i="20"/>
  <c r="N16" i="20"/>
  <c r="N179" i="11"/>
  <c r="N180" i="11" s="1"/>
  <c r="B180" i="11"/>
  <c r="B183" i="11" s="1"/>
  <c r="B184" i="11" s="1"/>
  <c r="C182" i="11" s="1"/>
  <c r="C184" i="11" s="1"/>
  <c r="D182" i="11" s="1"/>
  <c r="D184" i="11" s="1"/>
  <c r="E182" i="11" s="1"/>
  <c r="E184" i="11" s="1"/>
  <c r="F182" i="11" s="1"/>
  <c r="F184" i="11" s="1"/>
  <c r="G182" i="11" s="1"/>
  <c r="G184" i="11" s="1"/>
  <c r="H182" i="11" s="1"/>
  <c r="H184" i="11" s="1"/>
  <c r="I182" i="11" s="1"/>
  <c r="I184" i="11" s="1"/>
  <c r="J182" i="11" s="1"/>
  <c r="J184" i="11" s="1"/>
  <c r="K182" i="11" s="1"/>
  <c r="K184" i="11" s="1"/>
  <c r="L182" i="11" s="1"/>
  <c r="L184" i="11" s="1"/>
  <c r="M182" i="11" s="1"/>
  <c r="M184" i="11" s="1"/>
  <c r="B28" i="20"/>
  <c r="N28" i="20" s="1"/>
  <c r="N27" i="20"/>
  <c r="C11" i="1" s="1"/>
  <c r="B17" i="20"/>
  <c r="I32" i="19"/>
  <c r="M32" i="19"/>
  <c r="N94" i="14"/>
  <c r="N100" i="14" s="1"/>
  <c r="G100" i="14"/>
  <c r="B100" i="14"/>
  <c r="N65" i="13"/>
  <c r="C11" i="18"/>
  <c r="N27" i="19"/>
  <c r="C10" i="1" s="1"/>
  <c r="G32" i="19"/>
  <c r="F32" i="19"/>
  <c r="N16" i="19"/>
  <c r="C157" i="11"/>
  <c r="D155" i="11" s="1"/>
  <c r="D157" i="11" s="1"/>
  <c r="E155" i="11" s="1"/>
  <c r="E157" i="11" s="1"/>
  <c r="F155" i="11" s="1"/>
  <c r="F157" i="11" s="1"/>
  <c r="G155" i="11" s="1"/>
  <c r="G157" i="11" s="1"/>
  <c r="H155" i="11" s="1"/>
  <c r="H157" i="11" s="1"/>
  <c r="I155" i="11" s="1"/>
  <c r="I157" i="11" s="1"/>
  <c r="J155" i="11" s="1"/>
  <c r="J157" i="11" s="1"/>
  <c r="K155" i="11" s="1"/>
  <c r="K157" i="11" s="1"/>
  <c r="L155" i="11" s="1"/>
  <c r="L157" i="11" s="1"/>
  <c r="M155" i="11" s="1"/>
  <c r="M157" i="11" s="1"/>
  <c r="H129" i="11"/>
  <c r="H24" i="18"/>
  <c r="E129" i="11"/>
  <c r="E24" i="18"/>
  <c r="N10" i="18"/>
  <c r="N152" i="11"/>
  <c r="N153" i="11" s="1"/>
  <c r="N28" i="19"/>
  <c r="B17" i="19"/>
  <c r="B32" i="19" s="1"/>
  <c r="C84" i="14"/>
  <c r="K84" i="14"/>
  <c r="N78" i="14"/>
  <c r="N77" i="14"/>
  <c r="H84" i="14"/>
  <c r="H27" i="18"/>
  <c r="H28" i="18" s="1"/>
  <c r="H32" i="18" s="1"/>
  <c r="J32" i="18"/>
  <c r="I32" i="18"/>
  <c r="N69" i="13"/>
  <c r="L70" i="13"/>
  <c r="N70" i="13" s="1"/>
  <c r="E27" i="18"/>
  <c r="E28" i="18" s="1"/>
  <c r="E32" i="18" s="1"/>
  <c r="K27" i="18"/>
  <c r="K28" i="18" s="1"/>
  <c r="K32" i="18" s="1"/>
  <c r="L32" i="18"/>
  <c r="D27" i="18"/>
  <c r="D28" i="18" s="1"/>
  <c r="D32" i="18" s="1"/>
  <c r="M27" i="18"/>
  <c r="M28" i="18" s="1"/>
  <c r="M32" i="18" s="1"/>
  <c r="B125" i="11"/>
  <c r="H32" i="17"/>
  <c r="I32" i="17"/>
  <c r="D32" i="17"/>
  <c r="M32" i="17"/>
  <c r="L32" i="17"/>
  <c r="C67" i="14"/>
  <c r="N61" i="14"/>
  <c r="N60" i="14"/>
  <c r="B67" i="14"/>
  <c r="N37" i="13"/>
  <c r="B11" i="6"/>
  <c r="N11" i="6" s="1"/>
  <c r="N22" i="5"/>
  <c r="N88" i="11"/>
  <c r="E46" i="11"/>
  <c r="E47" i="11" s="1"/>
  <c r="J76" i="11"/>
  <c r="J24" i="6"/>
  <c r="J27" i="6" s="1"/>
  <c r="J28" i="6" s="1"/>
  <c r="J32" i="6" s="1"/>
  <c r="M72" i="11"/>
  <c r="M73" i="11" s="1"/>
  <c r="M10" i="6"/>
  <c r="M16" i="6" s="1"/>
  <c r="M17" i="6" s="1"/>
  <c r="C72" i="11"/>
  <c r="C73" i="11" s="1"/>
  <c r="C24" i="6" s="1"/>
  <c r="C27" i="6" s="1"/>
  <c r="C28" i="6" s="1"/>
  <c r="C10" i="6"/>
  <c r="C16" i="6" s="1"/>
  <c r="C17" i="6" s="1"/>
  <c r="E10" i="6"/>
  <c r="E16" i="6" s="1"/>
  <c r="E17" i="6" s="1"/>
  <c r="I76" i="11"/>
  <c r="I24" i="6"/>
  <c r="I27" i="6" s="1"/>
  <c r="I28" i="6" s="1"/>
  <c r="I32" i="6" s="1"/>
  <c r="B72" i="11"/>
  <c r="B73" i="11" s="1"/>
  <c r="B10" i="6"/>
  <c r="L76" i="11"/>
  <c r="L24" i="6"/>
  <c r="L27" i="6" s="1"/>
  <c r="L28" i="6" s="1"/>
  <c r="L32" i="6" s="1"/>
  <c r="F76" i="11"/>
  <c r="F24" i="6"/>
  <c r="F27" i="6" s="1"/>
  <c r="F28" i="6" s="1"/>
  <c r="F32" i="6" s="1"/>
  <c r="K72" i="11"/>
  <c r="K73" i="11" s="1"/>
  <c r="K10" i="6"/>
  <c r="K16" i="6" s="1"/>
  <c r="K17" i="6" s="1"/>
  <c r="D72" i="11"/>
  <c r="D73" i="11" s="1"/>
  <c r="M46" i="11"/>
  <c r="M47" i="11" s="1"/>
  <c r="M50" i="11" s="1"/>
  <c r="H76" i="11"/>
  <c r="H24" i="6"/>
  <c r="H27" i="6" s="1"/>
  <c r="H28" i="6" s="1"/>
  <c r="H32" i="6" s="1"/>
  <c r="G72" i="11"/>
  <c r="G73" i="11" s="1"/>
  <c r="G24" i="6" s="1"/>
  <c r="G27" i="6" s="1"/>
  <c r="G28" i="6" s="1"/>
  <c r="G10" i="6"/>
  <c r="G16" i="6" s="1"/>
  <c r="G17" i="6" s="1"/>
  <c r="N98" i="11"/>
  <c r="N99" i="11" s="1"/>
  <c r="B99" i="11"/>
  <c r="B102" i="11" s="1"/>
  <c r="F32" i="17"/>
  <c r="N16" i="17"/>
  <c r="B28" i="17"/>
  <c r="N28" i="17" s="1"/>
  <c r="N27" i="17"/>
  <c r="B17" i="17"/>
  <c r="N23" i="6"/>
  <c r="K46" i="11"/>
  <c r="K47" i="11" s="1"/>
  <c r="K24" i="5" s="1"/>
  <c r="J46" i="11"/>
  <c r="J47" i="11" s="1"/>
  <c r="J24" i="5" s="1"/>
  <c r="D50" i="11"/>
  <c r="B10" i="5"/>
  <c r="B46" i="11"/>
  <c r="B47" i="11" s="1"/>
  <c r="B24" i="5" s="1"/>
  <c r="C10" i="5"/>
  <c r="C46" i="11"/>
  <c r="C47" i="11" s="1"/>
  <c r="C24" i="5" s="1"/>
  <c r="L46" i="11"/>
  <c r="L47" i="11" s="1"/>
  <c r="L50" i="11" s="1"/>
  <c r="F46" i="11"/>
  <c r="F47" i="11" s="1"/>
  <c r="F50" i="11" s="1"/>
  <c r="E73" i="11"/>
  <c r="E43" i="7"/>
  <c r="E44" i="7" s="1"/>
  <c r="E30" i="7"/>
  <c r="B36" i="7" s="1"/>
  <c r="I50" i="11"/>
  <c r="I24" i="5"/>
  <c r="J50" i="11"/>
  <c r="K50" i="11"/>
  <c r="E50" i="11"/>
  <c r="E24" i="5"/>
  <c r="G46" i="11"/>
  <c r="G47" i="11" s="1"/>
  <c r="H46" i="11"/>
  <c r="H47" i="11" s="1"/>
  <c r="N36" i="11"/>
  <c r="E34" i="7"/>
  <c r="E35" i="7" s="1"/>
  <c r="C18" i="2"/>
  <c r="N18" i="2" s="1"/>
  <c r="D33" i="2"/>
  <c r="N7" i="2"/>
  <c r="B21" i="1" s="1"/>
  <c r="N29" i="2"/>
  <c r="C18" i="7"/>
  <c r="E18" i="7" s="1"/>
  <c r="D19" i="7"/>
  <c r="E19" i="7" s="1"/>
  <c r="C20" i="7"/>
  <c r="C21" i="7"/>
  <c r="D25" i="7"/>
  <c r="E25" i="7" s="1"/>
  <c r="D20" i="7"/>
  <c r="E20" i="7" s="1"/>
  <c r="D21" i="7"/>
  <c r="D6" i="7"/>
  <c r="B4" i="1"/>
  <c r="B3" i="1"/>
  <c r="E6" i="1"/>
  <c r="N26" i="4"/>
  <c r="N25" i="4"/>
  <c r="N12" i="4"/>
  <c r="M7" i="4"/>
  <c r="L7" i="4"/>
  <c r="K7" i="4"/>
  <c r="J7" i="4"/>
  <c r="I7" i="4"/>
  <c r="H7" i="4"/>
  <c r="G7" i="4"/>
  <c r="F7" i="4"/>
  <c r="E7" i="4"/>
  <c r="D7" i="4"/>
  <c r="C7" i="4"/>
  <c r="B7" i="4"/>
  <c r="N6" i="4"/>
  <c r="D20" i="1" s="1"/>
  <c r="N5" i="4"/>
  <c r="D19" i="1" s="1"/>
  <c r="C4" i="1"/>
  <c r="N48" i="14"/>
  <c r="N47" i="14"/>
  <c r="N46" i="14"/>
  <c r="N45" i="14"/>
  <c r="N31" i="14"/>
  <c r="N30" i="14"/>
  <c r="N29" i="14"/>
  <c r="N28" i="14"/>
  <c r="N14" i="14"/>
  <c r="N13" i="14"/>
  <c r="N12" i="14"/>
  <c r="N11" i="14"/>
  <c r="N10" i="14"/>
  <c r="E6" i="10"/>
  <c r="C6" i="10"/>
  <c r="B6" i="10"/>
  <c r="M10" i="11"/>
  <c r="L10" i="11"/>
  <c r="K10" i="11"/>
  <c r="J10" i="11"/>
  <c r="I10" i="11"/>
  <c r="H10" i="11"/>
  <c r="G10" i="11"/>
  <c r="F10" i="11"/>
  <c r="E10" i="11"/>
  <c r="D10" i="11"/>
  <c r="C10" i="11"/>
  <c r="B10" i="11"/>
  <c r="N18" i="11"/>
  <c r="N15" i="11"/>
  <c r="M14" i="15"/>
  <c r="M12" i="5" s="1"/>
  <c r="L14" i="15"/>
  <c r="L12" i="5" s="1"/>
  <c r="K14" i="15"/>
  <c r="K12" i="5" s="1"/>
  <c r="J14" i="15"/>
  <c r="J12" i="5" s="1"/>
  <c r="I14" i="15"/>
  <c r="I12" i="5" s="1"/>
  <c r="I16" i="5" s="1"/>
  <c r="I17" i="5" s="1"/>
  <c r="H14" i="15"/>
  <c r="H12" i="5" s="1"/>
  <c r="G14" i="15"/>
  <c r="G12" i="5" s="1"/>
  <c r="F14" i="15"/>
  <c r="F12" i="5" s="1"/>
  <c r="E14" i="15"/>
  <c r="E12" i="5" s="1"/>
  <c r="E16" i="5" s="1"/>
  <c r="E17" i="5" s="1"/>
  <c r="D14" i="15"/>
  <c r="D12" i="5" s="1"/>
  <c r="C14" i="15"/>
  <c r="C12" i="5" s="1"/>
  <c r="B14" i="15"/>
  <c r="B12" i="5" s="1"/>
  <c r="N13" i="15"/>
  <c r="N11" i="15"/>
  <c r="N14" i="15" s="1"/>
  <c r="M7" i="15"/>
  <c r="L7" i="15"/>
  <c r="K7" i="15"/>
  <c r="J7" i="15"/>
  <c r="I7" i="15"/>
  <c r="H7" i="15"/>
  <c r="G7" i="15"/>
  <c r="F7" i="15"/>
  <c r="E7" i="15"/>
  <c r="D7" i="15"/>
  <c r="C7" i="15"/>
  <c r="B7" i="15"/>
  <c r="N6" i="15"/>
  <c r="N4" i="15"/>
  <c r="N7" i="15" s="1"/>
  <c r="N49" i="14"/>
  <c r="N43" i="14"/>
  <c r="N42" i="14"/>
  <c r="N39" i="14"/>
  <c r="N38" i="14"/>
  <c r="N40" i="14" s="1"/>
  <c r="M33" i="14"/>
  <c r="M23" i="5" s="1"/>
  <c r="L33" i="14"/>
  <c r="L23" i="5" s="1"/>
  <c r="K33" i="14"/>
  <c r="K23" i="5" s="1"/>
  <c r="J33" i="14"/>
  <c r="J23" i="5" s="1"/>
  <c r="I33" i="14"/>
  <c r="I23" i="5" s="1"/>
  <c r="H33" i="14"/>
  <c r="H23" i="5" s="1"/>
  <c r="G33" i="14"/>
  <c r="G23" i="5" s="1"/>
  <c r="F33" i="14"/>
  <c r="F23" i="5" s="1"/>
  <c r="E33" i="14"/>
  <c r="E23" i="5" s="1"/>
  <c r="D33" i="14"/>
  <c r="D23" i="5" s="1"/>
  <c r="C33" i="14"/>
  <c r="C23" i="5" s="1"/>
  <c r="B33" i="14"/>
  <c r="B23" i="5" s="1"/>
  <c r="N32" i="14"/>
  <c r="N26" i="14"/>
  <c r="N25" i="14"/>
  <c r="M23" i="14"/>
  <c r="M13" i="5" s="1"/>
  <c r="M16" i="5" s="1"/>
  <c r="M17" i="5" s="1"/>
  <c r="L23" i="14"/>
  <c r="L13" i="5" s="1"/>
  <c r="K23" i="14"/>
  <c r="K13" i="5" s="1"/>
  <c r="J23" i="14"/>
  <c r="J13" i="5" s="1"/>
  <c r="I23" i="14"/>
  <c r="I13" i="5" s="1"/>
  <c r="H23" i="14"/>
  <c r="H13" i="5" s="1"/>
  <c r="G23" i="14"/>
  <c r="G13" i="5" s="1"/>
  <c r="F23" i="14"/>
  <c r="F13" i="5" s="1"/>
  <c r="E23" i="14"/>
  <c r="E13" i="5" s="1"/>
  <c r="D23" i="14"/>
  <c r="D13" i="5" s="1"/>
  <c r="C23" i="14"/>
  <c r="C13" i="5" s="1"/>
  <c r="B23" i="14"/>
  <c r="B13" i="5" s="1"/>
  <c r="N22" i="14"/>
  <c r="N21" i="14"/>
  <c r="D16" i="14"/>
  <c r="D23" i="4" s="1"/>
  <c r="D27" i="4" s="1"/>
  <c r="D28" i="4" s="1"/>
  <c r="C16" i="14"/>
  <c r="C23" i="4" s="1"/>
  <c r="C27" i="4" s="1"/>
  <c r="C28" i="4" s="1"/>
  <c r="B16" i="14"/>
  <c r="B23" i="4" s="1"/>
  <c r="B27" i="4" s="1"/>
  <c r="B28" i="4" s="1"/>
  <c r="N9" i="14"/>
  <c r="N8" i="14"/>
  <c r="M6" i="14"/>
  <c r="M13" i="4" s="1"/>
  <c r="L6" i="14"/>
  <c r="L13" i="4" s="1"/>
  <c r="K6" i="14"/>
  <c r="K13" i="4" s="1"/>
  <c r="J6" i="14"/>
  <c r="J13" i="4" s="1"/>
  <c r="I6" i="14"/>
  <c r="I13" i="4" s="1"/>
  <c r="H6" i="14"/>
  <c r="H13" i="4" s="1"/>
  <c r="G6" i="14"/>
  <c r="G13" i="4" s="1"/>
  <c r="F6" i="14"/>
  <c r="F13" i="4" s="1"/>
  <c r="E6" i="14"/>
  <c r="E13" i="4" s="1"/>
  <c r="D6" i="14"/>
  <c r="D13" i="4" s="1"/>
  <c r="D16" i="4" s="1"/>
  <c r="C6" i="14"/>
  <c r="C13" i="4" s="1"/>
  <c r="C16" i="4" s="1"/>
  <c r="B6" i="14"/>
  <c r="N5" i="14"/>
  <c r="N4" i="14"/>
  <c r="N28" i="13"/>
  <c r="N25" i="13"/>
  <c r="N24" i="13"/>
  <c r="N23" i="13"/>
  <c r="N22" i="13"/>
  <c r="N21" i="13"/>
  <c r="N20" i="13"/>
  <c r="N19" i="13"/>
  <c r="N18" i="13"/>
  <c r="M9" i="13"/>
  <c r="M11" i="4" s="1"/>
  <c r="L9" i="13"/>
  <c r="L11" i="4" s="1"/>
  <c r="K9" i="13"/>
  <c r="K11" i="4" s="1"/>
  <c r="J9" i="13"/>
  <c r="J11" i="4" s="1"/>
  <c r="I9" i="13"/>
  <c r="I11" i="4" s="1"/>
  <c r="H9" i="13"/>
  <c r="H11" i="4" s="1"/>
  <c r="G9" i="13"/>
  <c r="G11" i="4" s="1"/>
  <c r="F9" i="13"/>
  <c r="F11" i="4" s="1"/>
  <c r="E9" i="13"/>
  <c r="E11" i="4" s="1"/>
  <c r="D9" i="13"/>
  <c r="C9" i="13"/>
  <c r="B9" i="13"/>
  <c r="N12" i="13"/>
  <c r="L14" i="13"/>
  <c r="L22" i="4" s="1"/>
  <c r="H14" i="13"/>
  <c r="H22" i="4" s="1"/>
  <c r="B13" i="7"/>
  <c r="B12" i="7"/>
  <c r="C12" i="7" s="1"/>
  <c r="B11" i="7"/>
  <c r="D11" i="7" s="1"/>
  <c r="E11" i="7" s="1"/>
  <c r="P6" i="7"/>
  <c r="P2" i="7"/>
  <c r="B3" i="7"/>
  <c r="D10" i="7"/>
  <c r="E10" i="7" s="1"/>
  <c r="D9" i="7"/>
  <c r="E9" i="7" s="1"/>
  <c r="D8" i="7"/>
  <c r="C5" i="7"/>
  <c r="B4" i="7"/>
  <c r="C4" i="7" s="1"/>
  <c r="N17" i="21" l="1"/>
  <c r="K30" i="1" s="1"/>
  <c r="K42" i="1" s="1"/>
  <c r="K29" i="1"/>
  <c r="B12" i="1"/>
  <c r="D12" i="1" s="1"/>
  <c r="N17" i="20"/>
  <c r="J30" i="1" s="1"/>
  <c r="J42" i="1" s="1"/>
  <c r="J29" i="1"/>
  <c r="B11" i="1"/>
  <c r="D11" i="1" s="1"/>
  <c r="N17" i="19"/>
  <c r="I30" i="1" s="1"/>
  <c r="I42" i="1" s="1"/>
  <c r="I29" i="1"/>
  <c r="B10" i="1"/>
  <c r="D10" i="1" s="1"/>
  <c r="N17" i="17"/>
  <c r="G30" i="1" s="1"/>
  <c r="G29" i="1"/>
  <c r="B8" i="1"/>
  <c r="C8" i="1"/>
  <c r="G40" i="1"/>
  <c r="G42" i="1" s="1"/>
  <c r="N132" i="14"/>
  <c r="N206" i="11"/>
  <c r="N207" i="11" s="1"/>
  <c r="B207" i="11"/>
  <c r="B210" i="11" s="1"/>
  <c r="B211" i="11" s="1"/>
  <c r="C209" i="11" s="1"/>
  <c r="C211" i="11" s="1"/>
  <c r="D209" i="11" s="1"/>
  <c r="D211" i="11" s="1"/>
  <c r="E209" i="11" s="1"/>
  <c r="E211" i="11" s="1"/>
  <c r="F209" i="11" s="1"/>
  <c r="F211" i="11" s="1"/>
  <c r="G209" i="11" s="1"/>
  <c r="G211" i="11" s="1"/>
  <c r="H209" i="11" s="1"/>
  <c r="H211" i="11" s="1"/>
  <c r="I209" i="11" s="1"/>
  <c r="I211" i="11" s="1"/>
  <c r="J209" i="11" s="1"/>
  <c r="J211" i="11" s="1"/>
  <c r="K209" i="11" s="1"/>
  <c r="K211" i="11" s="1"/>
  <c r="L209" i="11" s="1"/>
  <c r="L211" i="11" s="1"/>
  <c r="M209" i="11" s="1"/>
  <c r="M211" i="11" s="1"/>
  <c r="B32" i="21"/>
  <c r="B32" i="20"/>
  <c r="N11" i="18"/>
  <c r="C16" i="18"/>
  <c r="N84" i="14"/>
  <c r="N125" i="11"/>
  <c r="N126" i="11" s="1"/>
  <c r="B126" i="11"/>
  <c r="N67" i="14"/>
  <c r="M24" i="5"/>
  <c r="C32" i="6"/>
  <c r="G76" i="11"/>
  <c r="L24" i="5"/>
  <c r="F24" i="5"/>
  <c r="N72" i="11"/>
  <c r="N73" i="11" s="1"/>
  <c r="B16" i="6"/>
  <c r="N10" i="6"/>
  <c r="M76" i="11"/>
  <c r="M24" i="6"/>
  <c r="M27" i="6" s="1"/>
  <c r="M28" i="6" s="1"/>
  <c r="M32" i="6" s="1"/>
  <c r="E76" i="11"/>
  <c r="E24" i="6"/>
  <c r="E27" i="6" s="1"/>
  <c r="E28" i="6" s="1"/>
  <c r="E32" i="6" s="1"/>
  <c r="G32" i="6"/>
  <c r="K76" i="11"/>
  <c r="K24" i="6"/>
  <c r="K27" i="6" s="1"/>
  <c r="K28" i="6" s="1"/>
  <c r="K32" i="6" s="1"/>
  <c r="B50" i="11"/>
  <c r="C76" i="11"/>
  <c r="D76" i="11"/>
  <c r="D24" i="6"/>
  <c r="D27" i="6" s="1"/>
  <c r="D28" i="6" s="1"/>
  <c r="D32" i="6" s="1"/>
  <c r="B76" i="11"/>
  <c r="B24" i="6"/>
  <c r="B32" i="17"/>
  <c r="G15" i="14"/>
  <c r="G16" i="14" s="1"/>
  <c r="G23" i="4" s="1"/>
  <c r="K15" i="14"/>
  <c r="K16" i="14" s="1"/>
  <c r="K23" i="4" s="1"/>
  <c r="H15" i="14"/>
  <c r="H16" i="14" s="1"/>
  <c r="H23" i="4" s="1"/>
  <c r="L15" i="14"/>
  <c r="L16" i="14" s="1"/>
  <c r="L23" i="4" s="1"/>
  <c r="J15" i="14"/>
  <c r="J16" i="14" s="1"/>
  <c r="J23" i="4" s="1"/>
  <c r="E15" i="14"/>
  <c r="I15" i="14"/>
  <c r="I16" i="14" s="1"/>
  <c r="I23" i="4" s="1"/>
  <c r="M15" i="14"/>
  <c r="M16" i="14" s="1"/>
  <c r="M23" i="4" s="1"/>
  <c r="F15" i="14"/>
  <c r="F16" i="14" s="1"/>
  <c r="F23" i="4" s="1"/>
  <c r="L16" i="5"/>
  <c r="L17" i="5" s="1"/>
  <c r="K16" i="5"/>
  <c r="K17" i="5" s="1"/>
  <c r="J16" i="5"/>
  <c r="J17" i="5" s="1"/>
  <c r="H16" i="5"/>
  <c r="H17" i="5" s="1"/>
  <c r="G16" i="5"/>
  <c r="G17" i="5" s="1"/>
  <c r="F16" i="5"/>
  <c r="F17" i="5" s="1"/>
  <c r="D16" i="5"/>
  <c r="D17" i="5" s="1"/>
  <c r="N23" i="5"/>
  <c r="N12" i="5"/>
  <c r="C16" i="5"/>
  <c r="C17" i="5" s="1"/>
  <c r="N11" i="4"/>
  <c r="C50" i="11"/>
  <c r="N46" i="11"/>
  <c r="N47" i="11" s="1"/>
  <c r="N10" i="5"/>
  <c r="H13" i="11"/>
  <c r="L13" i="11"/>
  <c r="J13" i="11"/>
  <c r="G13" i="11"/>
  <c r="E13" i="11"/>
  <c r="I13" i="11"/>
  <c r="M13" i="11"/>
  <c r="F13" i="11"/>
  <c r="K13" i="11"/>
  <c r="N23" i="14"/>
  <c r="B13" i="4"/>
  <c r="N50" i="14"/>
  <c r="H10" i="4"/>
  <c r="H20" i="11"/>
  <c r="L10" i="4"/>
  <c r="L20" i="11"/>
  <c r="K10" i="4"/>
  <c r="K20" i="11"/>
  <c r="E10" i="4"/>
  <c r="E20" i="11"/>
  <c r="I10" i="4"/>
  <c r="I20" i="11"/>
  <c r="M10" i="4"/>
  <c r="M20" i="11"/>
  <c r="G50" i="11"/>
  <c r="G24" i="5"/>
  <c r="G10" i="4"/>
  <c r="G20" i="11"/>
  <c r="F20" i="11"/>
  <c r="F10" i="4"/>
  <c r="J20" i="11"/>
  <c r="J10" i="4"/>
  <c r="H50" i="11"/>
  <c r="H24" i="5"/>
  <c r="E21" i="7"/>
  <c r="D17" i="4"/>
  <c r="D32" i="4" s="1"/>
  <c r="C33" i="2"/>
  <c r="C17" i="4"/>
  <c r="C32" i="4" s="1"/>
  <c r="N7" i="4"/>
  <c r="E4" i="1"/>
  <c r="D13" i="7"/>
  <c r="C13" i="7"/>
  <c r="D3" i="7"/>
  <c r="C3" i="7"/>
  <c r="E6" i="7"/>
  <c r="D12" i="7"/>
  <c r="E12" i="7" s="1"/>
  <c r="N33" i="14"/>
  <c r="D24" i="11"/>
  <c r="N5" i="11"/>
  <c r="N7" i="11"/>
  <c r="N14" i="11"/>
  <c r="N19" i="11"/>
  <c r="N6" i="11"/>
  <c r="N8" i="11"/>
  <c r="C24" i="11"/>
  <c r="N16" i="11"/>
  <c r="N17" i="11"/>
  <c r="N4" i="11"/>
  <c r="N6" i="14"/>
  <c r="N4" i="13"/>
  <c r="N5" i="13"/>
  <c r="N6" i="13"/>
  <c r="N8" i="13"/>
  <c r="I14" i="13"/>
  <c r="I22" i="4" s="1"/>
  <c r="M14" i="13"/>
  <c r="M22" i="4" s="1"/>
  <c r="N11" i="13"/>
  <c r="J14" i="13"/>
  <c r="J22" i="4" s="1"/>
  <c r="N13" i="13"/>
  <c r="N7" i="13"/>
  <c r="K14" i="13"/>
  <c r="K22" i="4" s="1"/>
  <c r="D4" i="7"/>
  <c r="E4" i="7" s="1"/>
  <c r="D5" i="7"/>
  <c r="E5" i="7" s="1"/>
  <c r="E8" i="7"/>
  <c r="B16" i="9"/>
  <c r="C20" i="9"/>
  <c r="B20" i="8"/>
  <c r="B21" i="8" s="1"/>
  <c r="E5" i="1" l="1"/>
  <c r="D21" i="1"/>
  <c r="D8" i="1"/>
  <c r="D20" i="9"/>
  <c r="K21" i="4"/>
  <c r="G21" i="4"/>
  <c r="I21" i="4"/>
  <c r="H21" i="4"/>
  <c r="B22" i="8"/>
  <c r="J21" i="4"/>
  <c r="F21" i="4"/>
  <c r="M21" i="4"/>
  <c r="E21" i="4"/>
  <c r="L21" i="4"/>
  <c r="C17" i="18"/>
  <c r="N16" i="18"/>
  <c r="H29" i="1" s="1"/>
  <c r="B129" i="11"/>
  <c r="B130" i="11" s="1"/>
  <c r="C128" i="11" s="1"/>
  <c r="C130" i="11" s="1"/>
  <c r="D128" i="11" s="1"/>
  <c r="D130" i="11" s="1"/>
  <c r="E128" i="11" s="1"/>
  <c r="E130" i="11" s="1"/>
  <c r="F128" i="11" s="1"/>
  <c r="F130" i="11" s="1"/>
  <c r="G128" i="11" s="1"/>
  <c r="G130" i="11" s="1"/>
  <c r="H128" i="11" s="1"/>
  <c r="H130" i="11" s="1"/>
  <c r="I128" i="11" s="1"/>
  <c r="I130" i="11" s="1"/>
  <c r="J128" i="11" s="1"/>
  <c r="J130" i="11" s="1"/>
  <c r="K128" i="11" s="1"/>
  <c r="K130" i="11" s="1"/>
  <c r="L128" i="11" s="1"/>
  <c r="L130" i="11" s="1"/>
  <c r="M128" i="11" s="1"/>
  <c r="M130" i="11" s="1"/>
  <c r="B24" i="18"/>
  <c r="N22" i="4"/>
  <c r="B17" i="6"/>
  <c r="N16" i="6"/>
  <c r="F29" i="1" s="1"/>
  <c r="N24" i="6"/>
  <c r="B27" i="6"/>
  <c r="E3" i="7"/>
  <c r="I21" i="11"/>
  <c r="I24" i="4" s="1"/>
  <c r="E16" i="14"/>
  <c r="E23" i="4" s="1"/>
  <c r="N23" i="4" s="1"/>
  <c r="N15" i="14"/>
  <c r="N16" i="14" s="1"/>
  <c r="K21" i="11"/>
  <c r="K24" i="4" s="1"/>
  <c r="H21" i="11"/>
  <c r="H24" i="4" s="1"/>
  <c r="L21" i="11"/>
  <c r="I24" i="11"/>
  <c r="G21" i="11"/>
  <c r="G24" i="4" s="1"/>
  <c r="M21" i="11"/>
  <c r="M24" i="4" s="1"/>
  <c r="F21" i="11"/>
  <c r="E26" i="7"/>
  <c r="E27" i="7" s="1"/>
  <c r="J20" i="4" s="1"/>
  <c r="J21" i="11"/>
  <c r="N13" i="11"/>
  <c r="B16" i="4"/>
  <c r="B17" i="4" s="1"/>
  <c r="B32" i="4" s="1"/>
  <c r="N13" i="4"/>
  <c r="B16" i="5"/>
  <c r="N13" i="5"/>
  <c r="E21" i="11"/>
  <c r="N20" i="11"/>
  <c r="N10" i="4"/>
  <c r="N24" i="5"/>
  <c r="E13" i="7"/>
  <c r="E14" i="7"/>
  <c r="E15" i="7" s="1"/>
  <c r="K24" i="11"/>
  <c r="N9" i="11"/>
  <c r="N10" i="11" s="1"/>
  <c r="B24" i="11"/>
  <c r="B25" i="11" s="1"/>
  <c r="C23" i="11" s="1"/>
  <c r="C25" i="11" s="1"/>
  <c r="D23" i="11" s="1"/>
  <c r="D25" i="11" s="1"/>
  <c r="E23" i="11" s="1"/>
  <c r="N14" i="13"/>
  <c r="N9" i="13"/>
  <c r="D22" i="9" l="1"/>
  <c r="D23" i="9" s="1"/>
  <c r="E20" i="9"/>
  <c r="F20" i="9" s="1"/>
  <c r="N21" i="4"/>
  <c r="D34" i="1" s="1"/>
  <c r="E21" i="5"/>
  <c r="I21" i="5"/>
  <c r="M21" i="5"/>
  <c r="G21" i="5"/>
  <c r="H21" i="5"/>
  <c r="B21" i="5"/>
  <c r="F21" i="5"/>
  <c r="J21" i="5"/>
  <c r="C21" i="5"/>
  <c r="K21" i="5"/>
  <c r="D21" i="5"/>
  <c r="L21" i="5"/>
  <c r="B9" i="1"/>
  <c r="N17" i="18"/>
  <c r="H30" i="1" s="1"/>
  <c r="H42" i="1" s="1"/>
  <c r="C27" i="18"/>
  <c r="C28" i="18" s="1"/>
  <c r="C32" i="18" s="1"/>
  <c r="B27" i="18"/>
  <c r="N24" i="18"/>
  <c r="B28" i="6"/>
  <c r="N28" i="6" s="1"/>
  <c r="N27" i="6"/>
  <c r="C7" i="1" s="1"/>
  <c r="N17" i="6"/>
  <c r="F30" i="1" s="1"/>
  <c r="F42" i="1" s="1"/>
  <c r="B7" i="1"/>
  <c r="B32" i="6"/>
  <c r="H24" i="11"/>
  <c r="I20" i="4"/>
  <c r="H20" i="4"/>
  <c r="H27" i="4" s="1"/>
  <c r="H28" i="4" s="1"/>
  <c r="M20" i="4"/>
  <c r="M27" i="4" s="1"/>
  <c r="M28" i="4" s="1"/>
  <c r="L20" i="4"/>
  <c r="F20" i="4"/>
  <c r="K20" i="4"/>
  <c r="G20" i="4"/>
  <c r="G27" i="4" s="1"/>
  <c r="G28" i="4" s="1"/>
  <c r="E20" i="4"/>
  <c r="N21" i="11"/>
  <c r="L24" i="4"/>
  <c r="L24" i="11"/>
  <c r="G24" i="11"/>
  <c r="M24" i="11"/>
  <c r="J24" i="4"/>
  <c r="J24" i="11"/>
  <c r="F24" i="4"/>
  <c r="F24" i="11"/>
  <c r="J27" i="4"/>
  <c r="J28" i="4" s="1"/>
  <c r="B20" i="5"/>
  <c r="F20" i="5"/>
  <c r="F27" i="5" s="1"/>
  <c r="F28" i="5" s="1"/>
  <c r="F32" i="5" s="1"/>
  <c r="J20" i="5"/>
  <c r="J27" i="5" s="1"/>
  <c r="J28" i="5" s="1"/>
  <c r="J32" i="5" s="1"/>
  <c r="D20" i="5"/>
  <c r="H20" i="5"/>
  <c r="H27" i="5" s="1"/>
  <c r="H28" i="5" s="1"/>
  <c r="H32" i="5" s="1"/>
  <c r="L20" i="5"/>
  <c r="L27" i="5" s="1"/>
  <c r="L28" i="5" s="1"/>
  <c r="L32" i="5" s="1"/>
  <c r="I20" i="5"/>
  <c r="C20" i="5"/>
  <c r="C27" i="5" s="1"/>
  <c r="C28" i="5" s="1"/>
  <c r="C32" i="5" s="1"/>
  <c r="G20" i="5"/>
  <c r="G27" i="5" s="1"/>
  <c r="G28" i="5" s="1"/>
  <c r="G32" i="5" s="1"/>
  <c r="K20" i="5"/>
  <c r="K27" i="5" s="1"/>
  <c r="K28" i="5" s="1"/>
  <c r="K32" i="5" s="1"/>
  <c r="E20" i="5"/>
  <c r="E27" i="5" s="1"/>
  <c r="E28" i="5" s="1"/>
  <c r="E32" i="5" s="1"/>
  <c r="M20" i="5"/>
  <c r="B17" i="5"/>
  <c r="N16" i="5"/>
  <c r="E29" i="1" s="1"/>
  <c r="E24" i="4"/>
  <c r="E24" i="11"/>
  <c r="E25" i="11" s="1"/>
  <c r="F23" i="11" s="1"/>
  <c r="F27" i="4"/>
  <c r="F28" i="4" s="1"/>
  <c r="K27" i="4"/>
  <c r="K28" i="4" s="1"/>
  <c r="I27" i="4"/>
  <c r="I28" i="4" s="1"/>
  <c r="H15" i="4" l="1"/>
  <c r="H16" i="4" s="1"/>
  <c r="H17" i="4" s="1"/>
  <c r="L15" i="4"/>
  <c r="L16" i="4" s="1"/>
  <c r="L17" i="4" s="1"/>
  <c r="J15" i="4"/>
  <c r="J16" i="4" s="1"/>
  <c r="J17" i="4" s="1"/>
  <c r="J32" i="4" s="1"/>
  <c r="E15" i="4"/>
  <c r="I15" i="4"/>
  <c r="I16" i="4" s="1"/>
  <c r="I17" i="4" s="1"/>
  <c r="I32" i="4" s="1"/>
  <c r="M15" i="4"/>
  <c r="M16" i="4" s="1"/>
  <c r="M17" i="4" s="1"/>
  <c r="F15" i="4"/>
  <c r="F16" i="4" s="1"/>
  <c r="F17" i="4" s="1"/>
  <c r="G15" i="4"/>
  <c r="G16" i="4" s="1"/>
  <c r="G17" i="4" s="1"/>
  <c r="K15" i="4"/>
  <c r="K16" i="4" s="1"/>
  <c r="K17" i="4" s="1"/>
  <c r="K32" i="4" s="1"/>
  <c r="H32" i="4"/>
  <c r="F32" i="4"/>
  <c r="G32" i="4"/>
  <c r="M32" i="4"/>
  <c r="M27" i="5"/>
  <c r="M28" i="5" s="1"/>
  <c r="M32" i="5" s="1"/>
  <c r="D27" i="5"/>
  <c r="D28" i="5" s="1"/>
  <c r="D32" i="5" s="1"/>
  <c r="N21" i="5"/>
  <c r="E34" i="1" s="1"/>
  <c r="I27" i="5"/>
  <c r="I28" i="5" s="1"/>
  <c r="I32" i="5" s="1"/>
  <c r="B28" i="18"/>
  <c r="N27" i="18"/>
  <c r="C9" i="1" s="1"/>
  <c r="D9" i="1" s="1"/>
  <c r="F25" i="11"/>
  <c r="G23" i="11" s="1"/>
  <c r="G25" i="11" s="1"/>
  <c r="H23" i="11" s="1"/>
  <c r="H25" i="11" s="1"/>
  <c r="I23" i="11" s="1"/>
  <c r="I25" i="11" s="1"/>
  <c r="J23" i="11" s="1"/>
  <c r="D7" i="1"/>
  <c r="N20" i="4"/>
  <c r="L27" i="4"/>
  <c r="L28" i="4" s="1"/>
  <c r="L32" i="4" s="1"/>
  <c r="J25" i="11"/>
  <c r="K23" i="11" s="1"/>
  <c r="K25" i="11" s="1"/>
  <c r="L23" i="11" s="1"/>
  <c r="L25" i="11" s="1"/>
  <c r="M23" i="11" s="1"/>
  <c r="M25" i="11" s="1"/>
  <c r="N24" i="4"/>
  <c r="N20" i="5"/>
  <c r="B27" i="5"/>
  <c r="E27" i="4"/>
  <c r="E28" i="4" s="1"/>
  <c r="N17" i="5"/>
  <c r="E30" i="1" s="1"/>
  <c r="B6" i="1"/>
  <c r="D4" i="1"/>
  <c r="N15" i="4" l="1"/>
  <c r="D28" i="1" s="1"/>
  <c r="E16" i="4"/>
  <c r="N28" i="18"/>
  <c r="B32" i="18"/>
  <c r="N28" i="4"/>
  <c r="B49" i="11"/>
  <c r="B51" i="11" s="1"/>
  <c r="C49" i="11" s="1"/>
  <c r="C51" i="11" s="1"/>
  <c r="D49" i="11" s="1"/>
  <c r="D51" i="11" s="1"/>
  <c r="E49" i="11" s="1"/>
  <c r="E51" i="11" s="1"/>
  <c r="F49" i="11" s="1"/>
  <c r="F51" i="11" s="1"/>
  <c r="G49" i="11" s="1"/>
  <c r="G51" i="11" s="1"/>
  <c r="H49" i="11" s="1"/>
  <c r="H51" i="11" s="1"/>
  <c r="I49" i="11" s="1"/>
  <c r="I51" i="11" s="1"/>
  <c r="J49" i="11" s="1"/>
  <c r="J51" i="11" s="1"/>
  <c r="K49" i="11" s="1"/>
  <c r="K51" i="11" s="1"/>
  <c r="L49" i="11" s="1"/>
  <c r="L51" i="11" s="1"/>
  <c r="N27" i="4"/>
  <c r="B28" i="5"/>
  <c r="N27" i="5"/>
  <c r="C3" i="1"/>
  <c r="E3" i="1"/>
  <c r="N16" i="4" l="1"/>
  <c r="E17" i="4"/>
  <c r="E32" i="4" s="1"/>
  <c r="C5" i="1"/>
  <c r="D40" i="1"/>
  <c r="C6" i="1"/>
  <c r="D6" i="1" s="1"/>
  <c r="E40" i="1"/>
  <c r="E42" i="1" s="1"/>
  <c r="N28" i="5"/>
  <c r="B32" i="5"/>
  <c r="M49" i="11"/>
  <c r="M51" i="11" s="1"/>
  <c r="D3" i="1"/>
  <c r="D42" i="1" l="1"/>
  <c r="N17" i="4"/>
  <c r="B5" i="1"/>
  <c r="D5" i="1" s="1"/>
  <c r="D29" i="1"/>
  <c r="B75" i="11"/>
  <c r="B77" i="11" s="1"/>
  <c r="C75" i="11" s="1"/>
  <c r="C77" i="11" s="1"/>
  <c r="D75" i="11" s="1"/>
  <c r="D77" i="11" s="1"/>
  <c r="E75" i="11" s="1"/>
  <c r="E77" i="11" s="1"/>
  <c r="F75" i="11" s="1"/>
  <c r="F77" i="11" s="1"/>
  <c r="G75" i="11" s="1"/>
  <c r="G77" i="11" s="1"/>
  <c r="H75" i="11" s="1"/>
  <c r="H77" i="11" s="1"/>
  <c r="I75" i="11" s="1"/>
  <c r="I77" i="11" s="1"/>
  <c r="J75" i="11" s="1"/>
  <c r="J77" i="11" s="1"/>
  <c r="K75" i="11" s="1"/>
  <c r="K77" i="11" s="1"/>
  <c r="L75" i="11" s="1"/>
  <c r="L77" i="11" s="1"/>
  <c r="M75" i="11" s="1"/>
  <c r="M77" i="11" s="1"/>
  <c r="B103" i="11"/>
  <c r="C101" i="11" s="1"/>
  <c r="C103" i="11" s="1"/>
  <c r="D101" i="11" s="1"/>
  <c r="D103" i="11" s="1"/>
  <c r="E101" i="11" s="1"/>
  <c r="E103" i="11" s="1"/>
  <c r="F101" i="11" s="1"/>
  <c r="F103" i="11" s="1"/>
  <c r="G101" i="11" s="1"/>
  <c r="G103" i="11" s="1"/>
  <c r="H101" i="11" s="1"/>
  <c r="H103" i="11" s="1"/>
  <c r="I101" i="11" s="1"/>
  <c r="I103" i="11" s="1"/>
  <c r="J101" i="11" s="1"/>
  <c r="J103" i="11" s="1"/>
  <c r="K101" i="11" s="1"/>
  <c r="K103" i="11" s="1"/>
  <c r="L101" i="11" s="1"/>
  <c r="L103" i="11" s="1"/>
  <c r="M101" i="11" s="1"/>
  <c r="M103" i="11" s="1"/>
  <c r="B32" i="2"/>
  <c r="B34" i="2" s="1"/>
  <c r="C32" i="2" s="1"/>
  <c r="C34" i="2" s="1"/>
  <c r="D32" i="2" s="1"/>
  <c r="D34" i="2" s="1"/>
  <c r="E32" i="2" s="1"/>
  <c r="E34" i="2" s="1"/>
  <c r="F32" i="2" s="1"/>
  <c r="F34" i="2" s="1"/>
  <c r="G32" i="2" s="1"/>
  <c r="G34" i="2" s="1"/>
  <c r="H32" i="2" s="1"/>
  <c r="H34" i="2" s="1"/>
  <c r="I32" i="2" s="1"/>
  <c r="I34" i="2" s="1"/>
  <c r="J32" i="2" s="1"/>
  <c r="J34" i="2" s="1"/>
  <c r="K32" i="2" s="1"/>
  <c r="K34" i="2" s="1"/>
  <c r="L32" i="2" s="1"/>
  <c r="L34" i="2" s="1"/>
  <c r="M32" i="2" s="1"/>
  <c r="M34" i="2" s="1"/>
  <c r="B32" i="3" s="1"/>
  <c r="B34" i="3" s="1"/>
  <c r="C32" i="3" s="1"/>
  <c r="C34" i="3" s="1"/>
  <c r="D32" i="3" s="1"/>
  <c r="D34" i="3" s="1"/>
  <c r="E32" i="3" s="1"/>
  <c r="E34" i="3" s="1"/>
  <c r="F32" i="3" s="1"/>
  <c r="F34" i="3" s="1"/>
  <c r="G32" i="3" s="1"/>
  <c r="G34" i="3" s="1"/>
  <c r="H32" i="3" s="1"/>
  <c r="H34" i="3" s="1"/>
  <c r="I32" i="3" s="1"/>
  <c r="I34" i="3" s="1"/>
  <c r="J32" i="3" s="1"/>
  <c r="J34" i="3" s="1"/>
  <c r="K32" i="3" s="1"/>
  <c r="K34" i="3" s="1"/>
  <c r="L32" i="3" s="1"/>
  <c r="L34" i="3" s="1"/>
  <c r="M32" i="3" s="1"/>
  <c r="M34" i="3" s="1"/>
  <c r="B31" i="4" s="1"/>
  <c r="B33" i="4" s="1"/>
  <c r="C31" i="4" s="1"/>
  <c r="C33" i="4" s="1"/>
  <c r="D31" i="4" s="1"/>
  <c r="D33" i="4" s="1"/>
  <c r="E31" i="4" s="1"/>
  <c r="E33" i="4" s="1"/>
  <c r="F31" i="4" s="1"/>
  <c r="F33" i="4" s="1"/>
  <c r="G31" i="4" s="1"/>
  <c r="G33" i="4" s="1"/>
  <c r="H31" i="4" s="1"/>
  <c r="H33" i="4" s="1"/>
  <c r="I31" i="4" s="1"/>
  <c r="I33" i="4" s="1"/>
  <c r="J31" i="4" s="1"/>
  <c r="J33" i="4" s="1"/>
  <c r="K31" i="4" s="1"/>
  <c r="K33" i="4" s="1"/>
  <c r="L31" i="4" s="1"/>
  <c r="L33" i="4" s="1"/>
  <c r="M31" i="4" s="1"/>
  <c r="M33" i="4" s="1"/>
  <c r="B31" i="5" s="1"/>
  <c r="B33" i="5" l="1"/>
  <c r="C31" i="5" s="1"/>
  <c r="C33" i="5" s="1"/>
  <c r="D31" i="5" s="1"/>
  <c r="D33" i="5" s="1"/>
  <c r="E31" i="5" s="1"/>
  <c r="E33" i="5" s="1"/>
  <c r="F31" i="5" s="1"/>
  <c r="F33" i="5" s="1"/>
  <c r="G31" i="5" s="1"/>
  <c r="G33" i="5" s="1"/>
  <c r="H31" i="5" s="1"/>
  <c r="H33" i="5" s="1"/>
  <c r="I31" i="5" s="1"/>
  <c r="I33" i="5" s="1"/>
  <c r="J31" i="5" s="1"/>
  <c r="J33" i="5" s="1"/>
  <c r="K31" i="5" s="1"/>
  <c r="K33" i="5" s="1"/>
  <c r="L31" i="5" s="1"/>
  <c r="L33" i="5" s="1"/>
  <c r="M31" i="5" s="1"/>
  <c r="M33" i="5" s="1"/>
  <c r="B31" i="6" s="1"/>
  <c r="B33" i="6" s="1"/>
  <c r="C31" i="6" s="1"/>
  <c r="C33" i="6" s="1"/>
  <c r="D31" i="6" s="1"/>
  <c r="D33" i="6" s="1"/>
  <c r="E31" i="6" s="1"/>
  <c r="E33" i="6" s="1"/>
  <c r="F31" i="6" s="1"/>
  <c r="F33" i="6" s="1"/>
  <c r="G31" i="6" s="1"/>
  <c r="G33" i="6" s="1"/>
  <c r="H31" i="6" s="1"/>
  <c r="H33" i="6" s="1"/>
  <c r="I31" i="6" s="1"/>
  <c r="I33" i="6" s="1"/>
  <c r="J31" i="6" s="1"/>
  <c r="J33" i="6" s="1"/>
  <c r="K31" i="6" s="1"/>
  <c r="K33" i="6" s="1"/>
  <c r="L31" i="6" s="1"/>
  <c r="L33" i="6" s="1"/>
  <c r="M31" i="6" s="1"/>
  <c r="M33" i="6" s="1"/>
  <c r="B31" i="17" l="1"/>
  <c r="B33" i="17" s="1"/>
  <c r="C31" i="17" s="1"/>
  <c r="C33" i="17" s="1"/>
  <c r="D31" i="17" s="1"/>
  <c r="D33" i="17" s="1"/>
  <c r="E31" i="17" s="1"/>
  <c r="E33" i="17" s="1"/>
  <c r="F31" i="17" s="1"/>
  <c r="F33" i="17" s="1"/>
  <c r="G31" i="17" s="1"/>
  <c r="G33" i="17" s="1"/>
  <c r="H31" i="17" s="1"/>
  <c r="H33" i="17" s="1"/>
  <c r="I31" i="17" s="1"/>
  <c r="I33" i="17" s="1"/>
  <c r="J31" i="17" s="1"/>
  <c r="J33" i="17" s="1"/>
  <c r="K31" i="17" s="1"/>
  <c r="K33" i="17" s="1"/>
  <c r="L31" i="17" s="1"/>
  <c r="L33" i="17" s="1"/>
  <c r="M31" i="17" s="1"/>
  <c r="M33" i="17" s="1"/>
  <c r="B31" i="18" s="1"/>
  <c r="B33" i="18" s="1"/>
  <c r="C31" i="18" s="1"/>
  <c r="C33" i="18" s="1"/>
  <c r="D31" i="18" s="1"/>
  <c r="D33" i="18" s="1"/>
  <c r="E31" i="18" s="1"/>
  <c r="E33" i="18" s="1"/>
  <c r="F31" i="18" s="1"/>
  <c r="F33" i="18" s="1"/>
  <c r="G31" i="18" s="1"/>
  <c r="G33" i="18" s="1"/>
  <c r="H31" i="18" s="1"/>
  <c r="H33" i="18" s="1"/>
  <c r="I31" i="18" s="1"/>
  <c r="I33" i="18" s="1"/>
  <c r="J31" i="18" s="1"/>
  <c r="J33" i="18" s="1"/>
  <c r="K31" i="18" s="1"/>
  <c r="K33" i="18" s="1"/>
  <c r="L31" i="18" s="1"/>
  <c r="L33" i="18" s="1"/>
  <c r="M31" i="18" s="1"/>
  <c r="M33" i="18" s="1"/>
  <c r="B31" i="19" s="1"/>
  <c r="B33" i="19" s="1"/>
  <c r="C31" i="19" s="1"/>
  <c r="C33" i="19" s="1"/>
  <c r="D31" i="19" s="1"/>
  <c r="D33" i="19" s="1"/>
  <c r="E31" i="19" s="1"/>
  <c r="E33" i="19" s="1"/>
  <c r="F31" i="19" s="1"/>
  <c r="F33" i="19" s="1"/>
  <c r="G31" i="19" s="1"/>
  <c r="G33" i="19" s="1"/>
  <c r="H31" i="19" s="1"/>
  <c r="H33" i="19" s="1"/>
  <c r="I31" i="19" s="1"/>
  <c r="I33" i="19" s="1"/>
  <c r="J31" i="19" s="1"/>
  <c r="J33" i="19" s="1"/>
  <c r="K31" i="19" s="1"/>
  <c r="K33" i="19" s="1"/>
  <c r="L31" i="19" s="1"/>
  <c r="L33" i="19" s="1"/>
  <c r="M31" i="19" s="1"/>
  <c r="M33" i="19" s="1"/>
  <c r="B31" i="20" s="1"/>
  <c r="B33" i="20" s="1"/>
  <c r="C31" i="20" s="1"/>
  <c r="C33" i="20" s="1"/>
  <c r="D31" i="20" s="1"/>
  <c r="D33" i="20" s="1"/>
  <c r="E31" i="20" s="1"/>
  <c r="E33" i="20" s="1"/>
  <c r="F31" i="20" s="1"/>
  <c r="F33" i="20" s="1"/>
  <c r="G31" i="20" s="1"/>
  <c r="G33" i="20" s="1"/>
  <c r="H31" i="20" s="1"/>
  <c r="H33" i="20" s="1"/>
  <c r="I31" i="20" s="1"/>
  <c r="I33" i="20" s="1"/>
  <c r="J31" i="20" s="1"/>
  <c r="J33" i="20" s="1"/>
  <c r="K31" i="20" s="1"/>
  <c r="K33" i="20" s="1"/>
  <c r="L31" i="20" s="1"/>
  <c r="L33" i="20" s="1"/>
  <c r="M31" i="20" s="1"/>
  <c r="M33" i="20" s="1"/>
  <c r="B31" i="21" s="1"/>
  <c r="B33" i="21" s="1"/>
  <c r="C31" i="21" s="1"/>
  <c r="C33" i="21" s="1"/>
  <c r="D31" i="21" s="1"/>
  <c r="D33" i="21" s="1"/>
  <c r="E31" i="21" s="1"/>
  <c r="E33" i="21" s="1"/>
  <c r="F31" i="21" s="1"/>
  <c r="F33" i="21" s="1"/>
  <c r="G31" i="21" s="1"/>
  <c r="G33" i="21" s="1"/>
  <c r="H31" i="21" s="1"/>
  <c r="H33" i="21" s="1"/>
  <c r="I31" i="21" s="1"/>
  <c r="I33" i="21" s="1"/>
  <c r="J31" i="21" s="1"/>
  <c r="J33" i="21" s="1"/>
  <c r="K31" i="21" s="1"/>
  <c r="K33" i="21" s="1"/>
  <c r="L31" i="21" s="1"/>
  <c r="L33" i="21" s="1"/>
  <c r="M31" i="21" s="1"/>
  <c r="M33" i="21" s="1"/>
</calcChain>
</file>

<file path=xl/comments1.xml><?xml version="1.0" encoding="utf-8"?>
<comments xmlns="http://schemas.openxmlformats.org/spreadsheetml/2006/main">
  <authors>
    <author>Jim</author>
  </authors>
  <commentList>
    <comment ref="A28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An apportioned recharge of utilities and services to both the Café and the Youth Project.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Provision for major capital refurbishment</t>
        </r>
      </text>
    </comment>
  </commentList>
</comments>
</file>

<file path=xl/comments10.xml><?xml version="1.0" encoding="utf-8"?>
<comments xmlns="http://schemas.openxmlformats.org/spreadsheetml/2006/main">
  <authors>
    <author>Jim Bennett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Jim Bennett:</t>
        </r>
        <r>
          <rPr>
            <sz val="9"/>
            <color indexed="81"/>
            <rFont val="Tahoma"/>
            <family val="2"/>
          </rPr>
          <t xml:space="preserve">
Secondary Threshhold https://www.gov.uk/guidance/rates-and-thresholds-for-employers-2016-to-2017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Jim Bennett:</t>
        </r>
        <r>
          <rPr>
            <sz val="9"/>
            <color indexed="81"/>
            <rFont val="Tahoma"/>
            <family val="2"/>
          </rPr>
          <t xml:space="preserve">
1%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Jim Bennett:</t>
        </r>
        <r>
          <rPr>
            <sz val="9"/>
            <color indexed="81"/>
            <rFont val="Tahoma"/>
            <family val="2"/>
          </rPr>
          <t xml:space="preserve">
Secondary Threshhold https://www.gov.uk/guidance/rates-and-thresholds-for-employers-2016-to-2017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Jim Bennett:</t>
        </r>
        <r>
          <rPr>
            <sz val="9"/>
            <color indexed="81"/>
            <rFont val="Tahoma"/>
            <family val="2"/>
          </rPr>
          <t xml:space="preserve">
1%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Jim Bennett:</t>
        </r>
        <r>
          <rPr>
            <sz val="9"/>
            <color indexed="81"/>
            <rFont val="Tahoma"/>
            <family val="2"/>
          </rPr>
          <t xml:space="preserve">
Secondary Threshhold https://www.gov.uk/guidance/rates-and-thresholds-for-employers-2016-to-2017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Jim Bennett:</t>
        </r>
        <r>
          <rPr>
            <sz val="9"/>
            <color indexed="81"/>
            <rFont val="Tahoma"/>
            <family val="2"/>
          </rPr>
          <t xml:space="preserve">
1%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</rPr>
          <t>Jim Bennett:</t>
        </r>
        <r>
          <rPr>
            <sz val="9"/>
            <color indexed="81"/>
            <rFont val="Tahoma"/>
            <family val="2"/>
          </rPr>
          <t xml:space="preserve">
Secondary Threshhold https://www.gov.uk/guidance/rates-and-thresholds-for-employers-2016-to-2017
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Jim Bennett:</t>
        </r>
        <r>
          <rPr>
            <sz val="9"/>
            <color indexed="81"/>
            <rFont val="Tahoma"/>
            <family val="2"/>
          </rPr>
          <t xml:space="preserve">
1%</t>
        </r>
      </text>
    </comment>
  </commentList>
</comments>
</file>

<file path=xl/comments11.xml><?xml version="1.0" encoding="utf-8"?>
<comments xmlns="http://schemas.openxmlformats.org/spreadsheetml/2006/main">
  <authors>
    <author>Jim</author>
  </authors>
  <commentList>
    <comment ref="F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50 covers per day @ £5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3 x Christmas Meal Events @ £15 pp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 x Burns Supper Event @ £15 pp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Panto nights with 150 drinks @ £3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100 people spending £3 on drinks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100 people spending £3 on drinks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100 people spending £3 on drinks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100 people spending £3 on drinks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100 people spending £3 on drinks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100 people spending £3 on drinks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1050 visitors spending £5 on food and £3 on drink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http://www.eastlothian.gov.uk/info/1126/alcohol_licences/616/licensing_scotland_act_2005/7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50 covers per day @ £5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3 x Easter
 Meal Events @ £15 pp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3 x Christmas Meal Events @ £15 pp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 x Burns Supper Event @ £15 pp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£3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Panto nights with 150 drinks @ £3</t>
        </r>
      </text>
    </comment>
    <comment ref="M3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£3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 on drinks etc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 on drinks etc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 on drinks etc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 on drinks etc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 on drinks etc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 on drinks etc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 on drinks etc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100 people spending £3 on drinks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 on drinks etc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 on drinks etc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1050 visitors spending £5 on food and £3 on drink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http://www.eastlothian.gov.uk/info/1126/alcohol_licences/616/licensing_scotland_act_2005/7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50 covers per day @ £5</t>
        </r>
      </text>
    </comment>
    <comment ref="B5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3 x Easter
 Meal Events @ £15 pp</t>
        </r>
      </text>
    </comment>
    <comment ref="J5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3 x Christmas Meal Events @ £15 pp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 x Burns Supper Event @ £15 pp</t>
        </r>
      </text>
    </comment>
    <comment ref="C58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£3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£3</t>
        </r>
      </text>
    </comment>
    <comment ref="J58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Panto nights with 150 drinks @ £3</t>
        </r>
      </text>
    </comment>
    <comment ref="M58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£3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 on drinks etc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 on drinks etc</t>
        </r>
      </text>
    </comment>
    <comment ref="D5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 on drinks etc</t>
        </r>
      </text>
    </comment>
    <comment ref="E5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 on drinks etc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 on drinks etc</t>
        </r>
      </text>
    </comment>
    <comment ref="H5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 on drinks etc</t>
        </r>
      </text>
    </comment>
    <comment ref="I5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 on drinks etc</t>
        </r>
      </text>
    </comment>
    <comment ref="K5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100 people spending £3 on drinks</t>
        </r>
      </text>
    </comment>
    <comment ref="L5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 on drinks etc</t>
        </r>
      </text>
    </comment>
    <comment ref="M5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 on drinks etc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1050 visitors spending £5 on food and £3 on drink</t>
        </r>
      </text>
    </comment>
    <comment ref="E70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http://www.eastlothian.gov.uk/info/1126/alcohol_licences/616/licensing_scotland_act_2005/7</t>
        </r>
      </text>
    </comment>
    <comment ref="F8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50 covers per day @ £5.75
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3 x Easter
 Meal Events @ £15 pp</t>
        </r>
      </text>
    </comment>
    <comment ref="J8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3 x Christmas Meal Events @ £15 pp</t>
        </r>
      </text>
    </comment>
    <comment ref="K8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 x Burns Supper Event @ £15 pp</t>
        </r>
      </text>
    </comment>
    <comment ref="C8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£3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£3</t>
        </r>
      </text>
    </comment>
    <comment ref="J8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Panto nights with 150 drinks @ £3</t>
        </r>
      </text>
    </comment>
    <comment ref="M8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£3</t>
        </r>
      </text>
    </comment>
    <comment ref="B8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£3.50
 on drinks etc</t>
        </r>
      </text>
    </comment>
    <comment ref="C8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£3.50
 on drinks etc</t>
        </r>
      </text>
    </comment>
    <comment ref="D8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£3.50
 on drinks etc</t>
        </r>
      </text>
    </comment>
    <comment ref="E8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£3.50
 on drinks etc</t>
        </r>
      </text>
    </comment>
    <comment ref="G8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£3.50
 on drinks etc</t>
        </r>
      </text>
    </comment>
    <comment ref="H8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£3.50
 on drinks etc</t>
        </r>
      </text>
    </comment>
    <comment ref="I8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£3.50
 on drinks etc</t>
        </r>
      </text>
    </comment>
    <comment ref="K8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£3.50
 on drinks etc</t>
        </r>
      </text>
    </comment>
    <comment ref="L8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£3.50
 on drinks etc</t>
        </r>
      </text>
    </comment>
    <comment ref="M8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£3.50
 on drinks etc</t>
        </r>
      </text>
    </comment>
    <comment ref="F8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1050 visitors spending £5 on food and £3 on drink</t>
        </r>
      </text>
    </comment>
    <comment ref="E9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http://www.eastlothian.gov.uk/info/1126/alcohol_licences/616/licensing_scotland_act_2005/7</t>
        </r>
      </text>
    </comment>
    <comment ref="F10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50 covers per day @ £6
</t>
        </r>
      </text>
    </comment>
    <comment ref="B110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3 x Easter
 Meal Events @ £16 pp</t>
        </r>
      </text>
    </comment>
    <comment ref="J110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3 x Easter
 Meal Events @ £16 pp</t>
        </r>
      </text>
    </comment>
    <comment ref="K110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 x Burns Supper Event @ £16 pp</t>
        </r>
      </text>
    </comment>
    <comment ref="C111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£3</t>
        </r>
      </text>
    </comment>
    <comment ref="G111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£3</t>
        </r>
      </text>
    </comment>
    <comment ref="J111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£3</t>
        </r>
      </text>
    </comment>
    <comment ref="M111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£3</t>
        </r>
      </text>
    </comment>
    <comment ref="B1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£3.75
 on drinks etc</t>
        </r>
      </text>
    </comment>
    <comment ref="C1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£3.75
 on drinks etc</t>
        </r>
      </text>
    </comment>
    <comment ref="D1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£3.75
 on drinks etc</t>
        </r>
      </text>
    </comment>
    <comment ref="E1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£3.75
 on drinks etc</t>
        </r>
      </text>
    </comment>
    <comment ref="G1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£3.75
 on drinks etc</t>
        </r>
      </text>
    </comment>
    <comment ref="H1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£3.75
 on drinks etc</t>
        </r>
      </text>
    </comment>
    <comment ref="I1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£3.75
 on drinks etc</t>
        </r>
      </text>
    </comment>
    <comment ref="K1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£3.75
 on drinks etc</t>
        </r>
      </text>
    </comment>
    <comment ref="L1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£3.75
 on drinks etc</t>
        </r>
      </text>
    </comment>
    <comment ref="M1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£3.75
 on drinks etc</t>
        </r>
      </text>
    </comment>
    <comment ref="F11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1050 visitors spending £6 on food and £3.75 on drink</t>
        </r>
      </text>
    </comment>
    <comment ref="E12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http://www.eastlothian.gov.uk/info/1126/alcohol_licences/616/licensing_scotland_act_2005/7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3 x Easter
 Meal Events @ £16 pp</t>
        </r>
      </text>
    </comment>
    <comment ref="J13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3 x Easter
 Meal Events @ £16 pp</t>
        </r>
      </text>
    </comment>
    <comment ref="K13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 x Burns Supper Event @ £16 pp</t>
        </r>
      </text>
    </comment>
    <comment ref="C138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£3.75
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£3.75
</t>
        </r>
      </text>
    </comment>
    <comment ref="J138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£3.75
</t>
        </r>
      </text>
    </comment>
    <comment ref="M138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£3.75
</t>
        </r>
      </text>
    </comment>
    <comment ref="B13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£3.75
 on drinks etc</t>
        </r>
      </text>
    </comment>
    <comment ref="C13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£3.75
 on drinks etc</t>
        </r>
      </text>
    </comment>
    <comment ref="D13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£3.75
 on drinks etc</t>
        </r>
      </text>
    </comment>
    <comment ref="E13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£3.75
 on drinks etc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£3.75
 on drinks etc</t>
        </r>
      </text>
    </comment>
    <comment ref="H13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£3.75
 on drinks etc</t>
        </r>
      </text>
    </comment>
    <comment ref="I13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£3.75
 on drinks etc</t>
        </r>
      </text>
    </comment>
    <comment ref="K13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£3.75
 on drinks etc</t>
        </r>
      </text>
    </comment>
    <comment ref="L13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£3.75
 on drinks etc</t>
        </r>
      </text>
    </comment>
    <comment ref="M13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£3.75
 on drinks etc</t>
        </r>
      </text>
    </comment>
    <comment ref="F141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1050 visitors spending £6 on food and £3.75 on drink</t>
        </r>
      </text>
    </comment>
    <comment ref="E150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http://www.eastlothian.gov.uk/info/1126/alcohol_licences/616/licensing_scotland_act_2005/7</t>
        </r>
      </text>
    </comment>
    <comment ref="B16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3 x Easter
 Meal Events @ £16 pp</t>
        </r>
      </text>
    </comment>
    <comment ref="J16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3 x Easter
 Meal Events @ £16 pp</t>
        </r>
      </text>
    </comment>
    <comment ref="K16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 x Burns Supper Event @ £16 pp</t>
        </r>
      </text>
    </comment>
    <comment ref="C16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£3.75
</t>
        </r>
      </text>
    </comment>
    <comment ref="G16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£3.75
</t>
        </r>
      </text>
    </comment>
    <comment ref="J16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£3.75
</t>
        </r>
      </text>
    </comment>
    <comment ref="M16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£3.75
</t>
        </r>
      </text>
    </comment>
    <comment ref="B16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£4
 on drinks etc</t>
        </r>
      </text>
    </comment>
    <comment ref="C16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£4
 on drinks etc</t>
        </r>
      </text>
    </comment>
    <comment ref="D16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£4
 on drinks etc</t>
        </r>
      </text>
    </comment>
    <comment ref="E16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£4
 on drinks etc</t>
        </r>
      </text>
    </comment>
    <comment ref="G16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£4
 on drinks etc</t>
        </r>
      </text>
    </comment>
    <comment ref="H16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£4
 on drinks etc</t>
        </r>
      </text>
    </comment>
    <comment ref="I16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£4
 on drinks etc</t>
        </r>
      </text>
    </comment>
    <comment ref="K16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£4
 on drinks etc</t>
        </r>
      </text>
    </comment>
    <comment ref="L16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£4
 on drinks etc</t>
        </r>
      </text>
    </comment>
    <comment ref="M16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£4
 on drinks etc</t>
        </r>
      </text>
    </comment>
    <comment ref="F168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1050 visitors spending £6 on food and £3.75 on drink</t>
        </r>
      </text>
    </comment>
    <comment ref="E17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http://www.eastlothian.gov.uk/info/1126/alcohol_licences/616/licensing_scotland_act_2005/7</t>
        </r>
      </text>
    </comment>
    <comment ref="B191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3 x Easter
 Meal Events @ £16 pp</t>
        </r>
      </text>
    </comment>
    <comment ref="J191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3 x Easter
 Meal Events @ £16 pp</t>
        </r>
      </text>
    </comment>
    <comment ref="K191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 x Burns Supper Event @ £16 pp</t>
        </r>
      </text>
    </comment>
    <comment ref="C19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£4
</t>
        </r>
      </text>
    </comment>
    <comment ref="G19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£4
</t>
        </r>
      </text>
    </comment>
    <comment ref="J19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£4
</t>
        </r>
      </text>
    </comment>
    <comment ref="M19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 x Theatre nights with 150 drinks @ £4
</t>
        </r>
      </text>
    </comment>
    <comment ref="B19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£4
 on drinks etc</t>
        </r>
      </text>
    </comment>
    <comment ref="C19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£4
 on drinks etc</t>
        </r>
      </text>
    </comment>
    <comment ref="D19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£4
 on drinks etc</t>
        </r>
      </text>
    </comment>
    <comment ref="E19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£4
 on drinks etc</t>
        </r>
      </text>
    </comment>
    <comment ref="G19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£4
 on drinks etc</t>
        </r>
      </text>
    </comment>
    <comment ref="H19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£4
 on drinks etc</t>
        </r>
      </text>
    </comment>
    <comment ref="I19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£4
 on drinks etc</t>
        </r>
      </text>
    </comment>
    <comment ref="K19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£4
 on drinks etc</t>
        </r>
      </text>
    </comment>
    <comment ref="L19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£4
 on drinks etc</t>
        </r>
      </text>
    </comment>
    <comment ref="M19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 events x 100 people spending £4
 on drinks etc</t>
        </r>
      </text>
    </comment>
    <comment ref="F19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1050 visitors spending £6 on food and £3.75 on drink</t>
        </r>
      </text>
    </comment>
    <comment ref="E20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http://www.eastlothian.gov.uk/info/1126/alcohol_licences/616/licensing_scotland_act_2005/7</t>
        </r>
      </text>
    </comment>
  </commentList>
</comments>
</file>

<file path=xl/comments12.xml><?xml version="1.0" encoding="utf-8"?>
<comments xmlns="http://schemas.openxmlformats.org/spreadsheetml/2006/main">
  <authors>
    <author>Jim</author>
  </authors>
  <commentList>
    <comment ref="H11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60 hrs theatre specialist for Show in a week @ £20 ph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20 hrs theatre specialist for Show in a Day @ £20 ph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Week hire &amp; licensing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day Hire and Licensing</t>
        </r>
      </text>
    </comment>
    <comment ref="B2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60 hrs theatre specialist for Show in a week @ £20 ph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60 hrs theatre specialist for Show in a week @ £20 ph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60 hrs theatre specialist for Show in a week @ £20 ph</t>
        </r>
      </text>
    </comment>
    <comment ref="L2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20 hrs theatre specialist for Show in a Day @ £20 ph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Week hire &amp; licensing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Week hire &amp; licensing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Week hire &amp; licensing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day Hire and Licensing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120
 hrs theatre specialist for Show in a week @ £20 ph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120
 hrs theatre specialist for Show in a week @ £20 ph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120
 hrs theatre specialist for Show in a week @ £20 ph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40 hrs theatre specialist for Show in a Day @ £20 ph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Week hire &amp; licensing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Week hire &amp; licensing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Week hire &amp; licensing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day Hire and Licensing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175 hrs theatre specialist for Show in a week @ £20 ph</t>
        </r>
      </text>
    </comment>
    <comment ref="E5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175 hrs theatre specialist for Show in a week @ £20 ph</t>
        </r>
      </text>
    </comment>
    <comment ref="H5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175 hrs theatre specialist for Show in a week @ £20 ph</t>
        </r>
      </text>
    </comment>
    <comment ref="L5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50 hrs theatre specialist for Show in a Day @ £20 ph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Week hire &amp; licensing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Week hire &amp; licensing</t>
        </r>
      </text>
    </comment>
    <comment ref="H5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Week hire &amp; licensing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175 hrs theatre specialist for Show in a week @ £20 ph</t>
        </r>
      </text>
    </comment>
    <comment ref="E6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175 hrs theatre specialist for Show in a week @ £20 ph</t>
        </r>
      </text>
    </comment>
    <comment ref="H6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175 hrs theatre specialist for Show in a week @ £20 ph</t>
        </r>
      </text>
    </comment>
    <comment ref="L6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50 hrs theatre specialist for Show in a Day @ £20 ph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Week hire &amp; licensing</t>
        </r>
      </text>
    </comment>
    <comment ref="E6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Week hire &amp; licensing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Week hire &amp; licensing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175 hrs theatre specialist for Show in a week @ £20 ph</t>
        </r>
      </text>
    </comment>
    <comment ref="E8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175 hrs theatre specialist for Show in a week @ £20 ph</t>
        </r>
      </text>
    </comment>
    <comment ref="H8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175 hrs theatre specialist for Show in a week @ £20 ph</t>
        </r>
      </text>
    </comment>
    <comment ref="L8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50 hrs theatre specialist for Show in a Day @ £20 ph</t>
        </r>
      </text>
    </comment>
    <comment ref="B8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Week hire &amp; licensing</t>
        </r>
      </text>
    </comment>
    <comment ref="E8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Week hire &amp; licensing</t>
        </r>
      </text>
    </comment>
    <comment ref="H8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Week hire &amp; licensing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175 hrs theatre specialist for Show in a week @ £20 ph</t>
        </r>
      </text>
    </comment>
    <comment ref="E9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175 hrs theatre specialist for Show in a week @ £20 ph</t>
        </r>
      </text>
    </comment>
    <comment ref="H9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175 hrs theatre specialist for Show in a week @ £20 ph</t>
        </r>
      </text>
    </comment>
    <comment ref="L9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50 hrs theatre specialist for Show in a Day @ £20 ph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Week hire &amp; licensing</t>
        </r>
      </text>
    </comment>
    <comment ref="E98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Week hire &amp; licensing</t>
        </r>
      </text>
    </comment>
    <comment ref="H98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Show in a Week hire &amp; licensing</t>
        </r>
      </text>
    </comment>
  </commentList>
</comments>
</file>

<file path=xl/comments13.xml><?xml version="1.0" encoding="utf-8"?>
<comments xmlns="http://schemas.openxmlformats.org/spreadsheetml/2006/main">
  <authors>
    <author>Jim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1 x party charged at £11 per child, £6 profit, x 10 children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L1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£11 per child, £6 profit, x 10 children
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L2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M26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I40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J40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B4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I4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J4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L4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M47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D5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F5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H5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I5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L5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  <comment ref="M54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Net profit for 2 x party charged at £12 per child, £6.5 profit, x 10 children
</t>
        </r>
      </text>
    </comment>
  </commentList>
</comments>
</file>

<file path=xl/comments14.xml><?xml version="1.0" encoding="utf-8"?>
<comments xmlns="http://schemas.openxmlformats.org/spreadsheetml/2006/main">
  <authors>
    <author>Jim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Big Lottery
Robertson Trust
MacRobert Trust
Foundation Scotland
</t>
        </r>
      </text>
    </comment>
  </commentList>
</comments>
</file>

<file path=xl/comments15.xml><?xml version="1.0" encoding="utf-8"?>
<comments xmlns="http://schemas.openxmlformats.org/spreadsheetml/2006/main">
  <authors>
    <author>Jim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hese are budget costs suitable for assessing the brief and magnitude of funding required. A detailed cost plan should be commissioned based on an emerging design, to fully calculate likely costs. VAT is excluded from these calculations.
</t>
        </r>
      </text>
    </comment>
  </commentList>
</comments>
</file>

<file path=xl/comments2.xml><?xml version="1.0" encoding="utf-8"?>
<comments xmlns="http://schemas.openxmlformats.org/spreadsheetml/2006/main">
  <authors>
    <author>Jim</author>
  </authors>
  <commentList>
    <comment ref="C20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Manager + Marketing Asst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Manager + Marketing Asst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Provision for major capital elements of expenditure</t>
        </r>
      </text>
    </comment>
  </commentList>
</comments>
</file>

<file path=xl/comments3.xml><?xml version="1.0" encoding="utf-8"?>
<comments xmlns="http://schemas.openxmlformats.org/spreadsheetml/2006/main">
  <authors>
    <author>Jim</author>
  </authors>
  <commentList>
    <comment ref="A2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Provision for major capital elements of expenditure</t>
        </r>
      </text>
    </comment>
  </commentList>
</comments>
</file>

<file path=xl/comments4.xml><?xml version="1.0" encoding="utf-8"?>
<comments xmlns="http://schemas.openxmlformats.org/spreadsheetml/2006/main">
  <authors>
    <author>Jim</author>
  </authors>
  <commentList>
    <comment ref="A2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Provision for major capital elements of expenditure</t>
        </r>
      </text>
    </comment>
  </commentList>
</comments>
</file>

<file path=xl/comments5.xml><?xml version="1.0" encoding="utf-8"?>
<comments xmlns="http://schemas.openxmlformats.org/spreadsheetml/2006/main">
  <authors>
    <author>Jim</author>
  </authors>
  <commentList>
    <comment ref="A2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Provision for major capital elements of expenditure</t>
        </r>
      </text>
    </comment>
  </commentList>
</comments>
</file>

<file path=xl/comments6.xml><?xml version="1.0" encoding="utf-8"?>
<comments xmlns="http://schemas.openxmlformats.org/spreadsheetml/2006/main">
  <authors>
    <author>Jim</author>
  </authors>
  <commentList>
    <comment ref="A2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Provision for major capital elements of expenditure</t>
        </r>
      </text>
    </comment>
  </commentList>
</comments>
</file>

<file path=xl/comments7.xml><?xml version="1.0" encoding="utf-8"?>
<comments xmlns="http://schemas.openxmlformats.org/spreadsheetml/2006/main">
  <authors>
    <author>Jim</author>
  </authors>
  <commentList>
    <comment ref="A2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Provision for major capital elements of expenditure</t>
        </r>
      </text>
    </comment>
  </commentList>
</comments>
</file>

<file path=xl/comments8.xml><?xml version="1.0" encoding="utf-8"?>
<comments xmlns="http://schemas.openxmlformats.org/spreadsheetml/2006/main">
  <authors>
    <author>Jim</author>
  </authors>
  <commentList>
    <comment ref="A2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Provision for major capital elements of expenditure</t>
        </r>
      </text>
    </comment>
  </commentList>
</comments>
</file>

<file path=xl/comments9.xml><?xml version="1.0" encoding="utf-8"?>
<comments xmlns="http://schemas.openxmlformats.org/spreadsheetml/2006/main">
  <authors>
    <author>Jim</author>
  </authors>
  <commentList>
    <comment ref="A25" authorId="0" shapeId="0">
      <text>
        <r>
          <rPr>
            <b/>
            <sz val="9"/>
            <color indexed="81"/>
            <rFont val="Tahoma"/>
            <family val="2"/>
          </rPr>
          <t>Jim:</t>
        </r>
        <r>
          <rPr>
            <sz val="9"/>
            <color indexed="81"/>
            <rFont val="Tahoma"/>
            <family val="2"/>
          </rPr>
          <t xml:space="preserve">
Provision for major capital elements of expenditure</t>
        </r>
      </text>
    </comment>
  </commentList>
</comments>
</file>

<file path=xl/sharedStrings.xml><?xml version="1.0" encoding="utf-8"?>
<sst xmlns="http://schemas.openxmlformats.org/spreadsheetml/2006/main" count="1526" uniqueCount="285">
  <si>
    <t>Income</t>
  </si>
  <si>
    <t>Expenditure</t>
  </si>
  <si>
    <t>Year Ending</t>
  </si>
  <si>
    <t>Totals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</si>
  <si>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</si>
  <si>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</si>
  <si>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</si>
  <si>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</si>
  <si>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</si>
  <si>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</si>
  <si>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</si>
  <si>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</si>
  <si>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</si>
  <si>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</si>
  <si>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</si>
  <si>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March</t>
  </si>
  <si>
    <t>Income:</t>
  </si>
  <si>
    <t>Grants</t>
  </si>
  <si>
    <t>Grants Sub-Total</t>
  </si>
  <si>
    <t>Income Streams</t>
  </si>
  <si>
    <t>Café</t>
  </si>
  <si>
    <t>Trading Sub-Totals</t>
  </si>
  <si>
    <t>Income Total</t>
  </si>
  <si>
    <t>Revenue</t>
  </si>
  <si>
    <t>Expenditure Total</t>
  </si>
  <si>
    <t>Opening Balance</t>
  </si>
  <si>
    <t>Net flow</t>
  </si>
  <si>
    <t>Closing Balance</t>
  </si>
  <si>
    <t>Staffing</t>
  </si>
  <si>
    <t>Advertising and marketing</t>
  </si>
  <si>
    <t>Repairs and replacements</t>
  </si>
  <si>
    <t>Maintenance of building services installations</t>
  </si>
  <si>
    <t>Licensing and memberships</t>
  </si>
  <si>
    <t>Other/miscellaneous costs</t>
  </si>
  <si>
    <t>NI+Pension</t>
  </si>
  <si>
    <t>Pension</t>
  </si>
  <si>
    <t>Total</t>
  </si>
  <si>
    <t>Hours</t>
  </si>
  <si>
    <t>0.6 Admin</t>
  </si>
  <si>
    <t>0.5 Centre Asst</t>
  </si>
  <si>
    <t>1.0 Manager</t>
  </si>
  <si>
    <t>Total p.a.</t>
  </si>
  <si>
    <t>Based on Dunblane Centre, includes:</t>
  </si>
  <si>
    <t xml:space="preserve">cleaning, janitorial, reception, </t>
  </si>
  <si>
    <t>Health &amp; Safety, minor repairs, PAT Testing etc</t>
  </si>
  <si>
    <t>Admin, website &amp; reception</t>
  </si>
  <si>
    <t>Admin, finance and reception</t>
  </si>
  <si>
    <t xml:space="preserve">Item </t>
  </si>
  <si>
    <t>Insurances</t>
  </si>
  <si>
    <t>Total Cost Y2</t>
  </si>
  <si>
    <t>Monthly</t>
  </si>
  <si>
    <t>Donor</t>
  </si>
  <si>
    <t>Purpose</t>
  </si>
  <si>
    <t>Amount Y1</t>
  </si>
  <si>
    <t>Amount Y2</t>
  </si>
  <si>
    <t>Hall Conferences</t>
  </si>
  <si>
    <t>Events and Functions</t>
  </si>
  <si>
    <t>Hall Hires</t>
  </si>
  <si>
    <t>Cleaning materials</t>
  </si>
  <si>
    <t>Waste Disposal Costs</t>
  </si>
  <si>
    <t>Consumables [Toilet Paper etc. etc. ]</t>
  </si>
  <si>
    <t>Female Hygiene</t>
  </si>
  <si>
    <t>Electricity</t>
  </si>
  <si>
    <t>Gas</t>
  </si>
  <si>
    <t>Equipment leases</t>
  </si>
  <si>
    <t>Telephone &amp; Postage</t>
  </si>
  <si>
    <t>Water Charges</t>
  </si>
  <si>
    <t>Non Domestic Rate based 20% rates</t>
  </si>
  <si>
    <t>Office Supplies</t>
  </si>
  <si>
    <t>WiFi</t>
  </si>
  <si>
    <t>RDT Hub Grants</t>
  </si>
  <si>
    <t>Capital Grants</t>
  </si>
  <si>
    <t>Build, Fees+VAT, Prj Mgt, Fit-out</t>
  </si>
  <si>
    <t>Revenue Grants</t>
  </si>
  <si>
    <t>Surplus/Deficit</t>
  </si>
  <si>
    <t>Recharges should be based on a pro-rata portion of costs per square foot</t>
  </si>
  <si>
    <t>Total sq.m</t>
  </si>
  <si>
    <t>%</t>
  </si>
  <si>
    <t>Total Rechage p.a.</t>
  </si>
  <si>
    <t>Total Monthly Recharge</t>
  </si>
  <si>
    <t>Recharge to Tenants</t>
  </si>
  <si>
    <t>Lime Grove Hub Financial Projections Summary</t>
  </si>
  <si>
    <t>Lime Grove Hub Forecast Year Ending 2019</t>
  </si>
  <si>
    <t>Lime Grove Hub Forecast Year Ending 2020</t>
  </si>
  <si>
    <t>Lime Grove Hub Forecast Year Ending 2021</t>
  </si>
  <si>
    <t>Lime Grove Hub Forecast Year Ending 2022</t>
  </si>
  <si>
    <t>Lime Grove Hub Forecast Year Ending 2023</t>
  </si>
  <si>
    <t>0.6 Admin/Finance</t>
  </si>
  <si>
    <t>Opening</t>
  </si>
  <si>
    <t>Monday - Saturday</t>
  </si>
  <si>
    <t>9 a.m. to 10 p.m.</t>
  </si>
  <si>
    <t>opening hours</t>
  </si>
  <si>
    <t>Sunday</t>
  </si>
  <si>
    <t>10 a.m. to 4 p.m.</t>
  </si>
  <si>
    <t>Cover required</t>
  </si>
  <si>
    <t>84 hours pw</t>
  </si>
  <si>
    <t>Minus holiday/sick leave</t>
  </si>
  <si>
    <t>This would give single person cover (excluding café/managerial/development)</t>
  </si>
  <si>
    <t>Lime Grove Hub Services Recharge</t>
  </si>
  <si>
    <t>Theatre</t>
  </si>
  <si>
    <t>Softplay</t>
  </si>
  <si>
    <t>Events and Hires</t>
  </si>
  <si>
    <t>Bunkouse</t>
  </si>
  <si>
    <t>Youth Facility</t>
  </si>
  <si>
    <t>Lime Grove Hub Staffing</t>
  </si>
  <si>
    <t>1.0 Youth Trainee</t>
  </si>
  <si>
    <t>Age 16/17 minimum wage</t>
  </si>
  <si>
    <t>Age 18-20 minimum wage</t>
  </si>
  <si>
    <t>Age 21-24 minimum wage</t>
  </si>
  <si>
    <t>Lime Grove Hub Flexible Theatre Space</t>
  </si>
  <si>
    <t>Theatre Events</t>
  </si>
  <si>
    <t>Show in a Week</t>
  </si>
  <si>
    <t>Cinema</t>
  </si>
  <si>
    <t>Equipment</t>
  </si>
  <si>
    <t>Addit. Staffing</t>
  </si>
  <si>
    <t>Year 2021</t>
  </si>
  <si>
    <t>Year 2022</t>
  </si>
  <si>
    <t>Year 2023</t>
  </si>
  <si>
    <t>Lime Grove Hub Bunkhouse</t>
  </si>
  <si>
    <t>Hire Income</t>
  </si>
  <si>
    <t>Utilities</t>
  </si>
  <si>
    <t>Cleaning Materials</t>
  </si>
  <si>
    <t>Laundry</t>
  </si>
  <si>
    <t>Lime Grove Soft Play</t>
  </si>
  <si>
    <t>Parties</t>
  </si>
  <si>
    <t xml:space="preserve">Other </t>
  </si>
  <si>
    <t>Daily sales</t>
  </si>
  <si>
    <t>Theatre Nights</t>
  </si>
  <si>
    <t>Cinema Nights</t>
  </si>
  <si>
    <t>Show-in-a-week Nights</t>
  </si>
  <si>
    <t>Additional Staff</t>
  </si>
  <si>
    <t>Utilities Recharge</t>
  </si>
  <si>
    <t>Raw materials</t>
  </si>
  <si>
    <t>Lime Grove Cafe Forecast Year Ending 2021</t>
  </si>
  <si>
    <t>Lime Grove Cafe Forecast Year Ending 2022</t>
  </si>
  <si>
    <t>Lime Grove Cafe Forecast Year Ending 2023</t>
  </si>
  <si>
    <t>SLF revenue Support</t>
  </si>
  <si>
    <t>NBT Build Grant</t>
  </si>
  <si>
    <t>Amount Y3</t>
  </si>
  <si>
    <t>NBT Revenue Support</t>
  </si>
  <si>
    <t>Grant Totals</t>
  </si>
  <si>
    <t>Rates</t>
  </si>
  <si>
    <t xml:space="preserve">Furniture Replacement </t>
  </si>
  <si>
    <t>Repairs/maintenance</t>
  </si>
  <si>
    <t>Café (nett income)</t>
  </si>
  <si>
    <t>RIBA Stage 2 Design and Ecology Report</t>
  </si>
  <si>
    <t>0.6 Drama Worker</t>
  </si>
  <si>
    <t>0.3 Marketing Assistant</t>
  </si>
  <si>
    <t>Staffing YE 2022 onwards</t>
  </si>
  <si>
    <t>Staffing YE 2021-2022</t>
  </si>
  <si>
    <t>NI</t>
  </si>
  <si>
    <t>Project Mngement, design, Permissions, Specialists, Build Costs</t>
  </si>
  <si>
    <t>Revenue Costs</t>
  </si>
  <si>
    <t>Sink Fund</t>
  </si>
  <si>
    <t>Youth Facility Rental</t>
  </si>
  <si>
    <t>Year 2024</t>
  </si>
  <si>
    <t>Lime Grove Cafe Forecast Year Ending 2024</t>
  </si>
  <si>
    <t>Fringe by Sea</t>
  </si>
  <si>
    <t>Café Manager x 0.8</t>
  </si>
  <si>
    <t>Café Staff x 0.4</t>
  </si>
  <si>
    <t>Café Hours</t>
  </si>
  <si>
    <t>Mon- Sat</t>
  </si>
  <si>
    <t>9 a.m. to 4 p.m.</t>
  </si>
  <si>
    <t>42 hours</t>
  </si>
  <si>
    <t>6 hours</t>
  </si>
  <si>
    <t>Staffing required is 1.5 times Opening hours</t>
  </si>
  <si>
    <t>72 hours</t>
  </si>
  <si>
    <t>84 hours</t>
  </si>
  <si>
    <t>Staffing offered (includes allowance for hols/absence</t>
  </si>
  <si>
    <t>Staff</t>
  </si>
  <si>
    <t>Café Manager Hourly</t>
  </si>
  <si>
    <t>Recharges</t>
  </si>
  <si>
    <t>Parties - net profit</t>
  </si>
  <si>
    <t>Miscellaneous</t>
  </si>
  <si>
    <t>Rental to Youth Project</t>
  </si>
  <si>
    <t>incl. 3% uplift</t>
  </si>
  <si>
    <t>Marketing</t>
  </si>
  <si>
    <t>Café Staffing YE 2021-2022</t>
  </si>
  <si>
    <t>Bunkhouse Staffing YE 2021-2022</t>
  </si>
  <si>
    <t>Requirements:</t>
  </si>
  <si>
    <t>3 hours per day x 360 days</t>
  </si>
  <si>
    <t>I FTE does</t>
  </si>
  <si>
    <t>hours</t>
  </si>
  <si>
    <t>Plus allowance for holidays etc</t>
  </si>
  <si>
    <t>Staffing Requirement</t>
  </si>
  <si>
    <t>Centre Assistant x 0.65</t>
  </si>
  <si>
    <t>387 hours per week =</t>
  </si>
  <si>
    <t>Full time Equivalent Staff</t>
  </si>
  <si>
    <t>Revenue Cost Recharge</t>
  </si>
  <si>
    <t>Revenue Costs Recharge</t>
  </si>
  <si>
    <t>Capital</t>
  </si>
  <si>
    <t>Lime Grove Hub Forecast Year Ending 2024</t>
  </si>
  <si>
    <t>Lime Grove Hub Forecast Year Ending 2025</t>
  </si>
  <si>
    <t>Lime Grove Cafe Forecast Year Ending 2025</t>
  </si>
  <si>
    <t>Year 2025</t>
  </si>
  <si>
    <t>Lime Grove Hub Forecast Year Ending 2026</t>
  </si>
  <si>
    <t>Lime Grove Cafe Forecast Year Ending 2026</t>
  </si>
  <si>
    <t>Year 2026</t>
  </si>
  <si>
    <t>Lime Grove Hub Forecast Year Ending 2027</t>
  </si>
  <si>
    <t>Lime Grove Cafe Forecast Year Ending 2027</t>
  </si>
  <si>
    <t>Year 2027</t>
  </si>
  <si>
    <t>Lime Grove Hub Forecast Year Ending 2028</t>
  </si>
  <si>
    <t>Lime Grove Cafe Forecast Year Ending 2028</t>
  </si>
  <si>
    <t>Year 2028</t>
  </si>
  <si>
    <t xml:space="preserve">Café </t>
  </si>
  <si>
    <t>Net Trading Income</t>
  </si>
  <si>
    <t>Financial Overview</t>
  </si>
  <si>
    <t>Acquisition costs will be directly met by the North Berwick Trust</t>
  </si>
  <si>
    <t>The build planning and execution will be financed by NBT, delivered by the Lime Grove Trust</t>
  </si>
  <si>
    <t>Initial cash flow support will require to be sourced by external grant finance</t>
  </si>
  <si>
    <t>Lime Grove Hub Financial Forecast Summary</t>
  </si>
  <si>
    <t>It is anticipated that a steady state trading position will be reached by Y3 of trading</t>
  </si>
  <si>
    <t>Adequate working reserves (3 months trading) will be achieved by trading Y5</t>
  </si>
  <si>
    <t>A £12k pa provision for capital refurbishiment (Sink Fund) will be made from Y5 of trading</t>
  </si>
  <si>
    <t xml:space="preserve">Grants </t>
  </si>
  <si>
    <t>Trading forecasts reflect the conservative end of market assessment</t>
  </si>
  <si>
    <t>plus 3% infation pa</t>
  </si>
  <si>
    <t>Cashflow underwriting &amp; set-up Costs</t>
  </si>
  <si>
    <t>Set up / Capital funding costs will need to include;</t>
  </si>
  <si>
    <t>Café –</t>
  </si>
  <si>
    <t>Coffee Machine nom. £2500 (see quotes from SCO-Tech and Dear Green Coffee)</t>
  </si>
  <si>
    <t>Coffee Grinder £710 (see quote from Dear Green Coffee)</t>
  </si>
  <si>
    <t>Dishwasher</t>
  </si>
  <si>
    <t>Cash Till</t>
  </si>
  <si>
    <t>Table Ware</t>
  </si>
  <si>
    <t>Kitchen Equipment</t>
  </si>
  <si>
    <t>Crockery</t>
  </si>
  <si>
    <t>Hall-</t>
  </si>
  <si>
    <t>Staging and lighting</t>
  </si>
  <si>
    <t>AV + sound system</t>
  </si>
  <si>
    <t>Black out blinds</t>
  </si>
  <si>
    <t>Furniture-</t>
  </si>
  <si>
    <t>Creative Arts Room</t>
  </si>
  <si>
    <t xml:space="preserve">Hot Desk Room £4000 </t>
  </si>
  <si>
    <t>(based on other furniture costs, 4 x desks, chairs, pedestals, small mtg table + 4 chairs)</t>
  </si>
  <si>
    <t>Fixed Furniture to main Circulation space</t>
  </si>
  <si>
    <t xml:space="preserve">Joinery item storage cupboards and community noticeboard £5000 </t>
  </si>
  <si>
    <t>Signage-</t>
  </si>
  <si>
    <t>All internal + external signage (current provision for emergency signage only)</t>
  </si>
  <si>
    <t>Disabled facilities</t>
  </si>
  <si>
    <t>WC Hoist. £2000 (see quote from Caledonia Care Systems)</t>
  </si>
  <si>
    <t>External landscape works</t>
  </si>
  <si>
    <t>Planting to memorial garden £5000 (omitted from Project capital budget)</t>
  </si>
  <si>
    <t xml:space="preserve">Accounting + Financial Services </t>
  </si>
  <si>
    <t>The set up and oversight of new financial systems 5 days @ max £400/day)</t>
  </si>
  <si>
    <t xml:space="preserve">for the Beacon and ongoing support to the organisation and Board £10,000 ( 25 </t>
  </si>
  <si>
    <t>Website Design</t>
  </si>
  <si>
    <t>New interactive website which can facilitate bookings for the Beacon £3,000</t>
  </si>
  <si>
    <t>Legal</t>
  </si>
  <si>
    <t>Standard subletting agreements</t>
  </si>
  <si>
    <t>Telecoms + Data provision</t>
  </si>
  <si>
    <t xml:space="preserve">(BT will be the provider – we have asked for their costs to be confirmed including total set cost and, quarterly </t>
  </si>
  <si>
    <t>Initial set up costs running costs)</t>
  </si>
  <si>
    <t>Insurance</t>
  </si>
  <si>
    <t>Building Insurance has just been paid for next 12 months through the Main Contact – a large proportion of this will have to be paid back by the Beacon when the Main Contractor hands the building over. A new policy will also have to be established to encompass contents, public liability, employers and affiliated groups etc</t>
  </si>
  <si>
    <t>Insurers may require for cash on site a Chubb Registered Safe with a ‘night safe’ slot.</t>
  </si>
  <si>
    <t>Training</t>
  </si>
  <si>
    <t>First Aid, Fire Safety, H+S and other staff training. Fire safety equipment</t>
  </si>
  <si>
    <t>Revenue Support Potential</t>
  </si>
  <si>
    <t>Big Lottery</t>
  </si>
  <si>
    <t>Robertson Trust</t>
  </si>
  <si>
    <t>MacRobert Trust</t>
  </si>
  <si>
    <t>Foundation Scotland</t>
  </si>
  <si>
    <t>Cafe</t>
  </si>
  <si>
    <t>Ancillary (15%)</t>
  </si>
  <si>
    <t>Floor area / No</t>
  </si>
  <si>
    <t>Cost m2 / unit</t>
  </si>
  <si>
    <t>Total cost</t>
  </si>
  <si>
    <t>Community</t>
  </si>
  <si>
    <t>Multi Purpose Hall (150 seats)</t>
  </si>
  <si>
    <t>Youth Space</t>
  </si>
  <si>
    <t>Meeting rooms</t>
  </si>
  <si>
    <t>Soft play</t>
  </si>
  <si>
    <t>Tourist Accommodation</t>
  </si>
  <si>
    <t>Hostel (32 places)</t>
  </si>
  <si>
    <t>Landscape</t>
  </si>
  <si>
    <t>Parking</t>
  </si>
  <si>
    <t>Amphitheater &amp; Landscape</t>
  </si>
  <si>
    <t>Allotment</t>
  </si>
  <si>
    <t>Prelims (15%)</t>
  </si>
  <si>
    <t>Demolition</t>
  </si>
  <si>
    <t>Contingency (5%)</t>
  </si>
  <si>
    <t>Professional Fees (10%)</t>
  </si>
  <si>
    <t>Total Works Cost</t>
  </si>
  <si>
    <t>Lime Grove Capital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</si>
</sst>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£&quot;#,##0;[Red]\-&quot;£&quot;#,##0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rgb="FFD8E4B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D9D9D9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3" tint="0.79998168889431442"/>
        <bgColor rgb="FFD9D9D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rgb="FFD6D6D6"/>
      </left>
      <right style="medium">
        <color rgb="FFD6D6D6"/>
      </right>
      <top style="medium">
        <color rgb="FFD6D6D6"/>
      </top>
      <bottom style="medium">
        <color rgb="FFD6D6D6"/>
      </bottom>
      <diagonal/>
    </border>
    <border>
      <left/>
      <right style="medium">
        <color rgb="FFD6D6D6"/>
      </right>
      <top style="medium">
        <color rgb="FFD6D6D6"/>
      </top>
      <bottom style="medium">
        <color rgb="FFD6D6D6"/>
      </bottom>
      <diagonal/>
    </border>
    <border>
      <left style="medium">
        <color rgb="FFD6D6D6"/>
      </left>
      <right style="medium">
        <color rgb="FFD6D6D6"/>
      </right>
      <top/>
      <bottom style="medium">
        <color rgb="FFD6D6D6"/>
      </bottom>
      <diagonal/>
    </border>
    <border>
      <left/>
      <right style="medium">
        <color rgb="FFD6D6D6"/>
      </right>
      <top/>
      <bottom style="medium">
        <color rgb="FFD6D6D6"/>
      </bottom>
      <diagonal/>
    </border>
  </borders>
  <cellStyleXfs count="2">
    <xf numFmtId="0" fontId="0" fillId="0" borderId="0"/>
    <xf numFmtId="0" fontId="11" fillId="0" borderId="0"/>
  </cellStyleXfs>
  <cellXfs count="63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right"/>
    </xf>
    <xf numFmtId="0" fontId="7" fillId="0" borderId="0" xfId="0" applyFont="1"/>
    <xf numFmtId="3" fontId="7" fillId="0" borderId="0" xfId="0" applyNumberFormat="1" applyFont="1"/>
    <xf numFmtId="0" fontId="6" fillId="4" borderId="0" xfId="0" applyFont="1" applyFill="1"/>
    <xf numFmtId="0" fontId="7" fillId="4" borderId="0" xfId="0" applyFont="1" applyFill="1"/>
    <xf numFmtId="0" fontId="6" fillId="4" borderId="0" xfId="0" applyFont="1" applyFill="1" applyAlignment="1">
      <alignment horizontal="left"/>
    </xf>
    <xf numFmtId="0" fontId="7" fillId="2" borderId="0" xfId="0" applyFont="1" applyFill="1"/>
    <xf numFmtId="0" fontId="7" fillId="4" borderId="0" xfId="0" applyFont="1" applyFill="1" applyAlignment="1">
      <alignment vertical="center"/>
    </xf>
    <xf numFmtId="3" fontId="7" fillId="4" borderId="0" xfId="0" applyNumberFormat="1" applyFont="1" applyFill="1"/>
    <xf numFmtId="0" fontId="1" fillId="4" borderId="0" xfId="0" applyFont="1" applyFill="1"/>
    <xf numFmtId="0" fontId="0" fillId="0" borderId="0" xfId="0" applyFont="1"/>
    <xf numFmtId="0" fontId="0" fillId="2" borderId="0" xfId="0" applyFont="1" applyFill="1"/>
    <xf numFmtId="1" fontId="0" fillId="0" borderId="0" xfId="0" applyNumberFormat="1" applyFont="1"/>
    <xf numFmtId="1" fontId="0" fillId="2" borderId="0" xfId="0" applyNumberFormat="1" applyFont="1" applyFill="1"/>
    <xf numFmtId="1" fontId="2" fillId="2" borderId="0" xfId="0" applyNumberFormat="1" applyFont="1" applyFill="1"/>
    <xf numFmtId="0" fontId="0" fillId="0" borderId="0" xfId="0" applyFont="1" applyAlignment="1">
      <alignment horizontal="left"/>
    </xf>
    <xf numFmtId="0" fontId="0" fillId="0" borderId="0" xfId="0" applyFont="1" applyFill="1"/>
    <xf numFmtId="1" fontId="0" fillId="0" borderId="0" xfId="0" applyNumberFormat="1" applyFont="1" applyFill="1"/>
    <xf numFmtId="0" fontId="0" fillId="3" borderId="0" xfId="0" applyFont="1" applyFill="1"/>
    <xf numFmtId="1" fontId="0" fillId="3" borderId="0" xfId="0" applyNumberFormat="1" applyFont="1" applyFill="1"/>
    <xf numFmtId="1" fontId="0" fillId="0" borderId="0" xfId="0" applyNumberFormat="1"/>
    <xf numFmtId="0" fontId="2" fillId="0" borderId="0" xfId="0" applyFont="1"/>
    <xf numFmtId="3" fontId="8" fillId="5" borderId="0" xfId="0" applyNumberFormat="1" applyFont="1" applyFill="1"/>
    <xf numFmtId="3" fontId="0" fillId="5" borderId="0" xfId="0" applyNumberFormat="1" applyFill="1"/>
    <xf numFmtId="0" fontId="0" fillId="2" borderId="1" xfId="0" applyFont="1" applyFill="1" applyBorder="1"/>
    <xf numFmtId="3" fontId="7" fillId="6" borderId="0" xfId="0" applyNumberFormat="1" applyFont="1" applyFill="1"/>
    <xf numFmtId="0" fontId="7" fillId="6" borderId="0" xfId="0" applyFont="1" applyFill="1"/>
    <xf numFmtId="1" fontId="7" fillId="6" borderId="0" xfId="0" applyNumberFormat="1" applyFont="1" applyFill="1"/>
    <xf numFmtId="0" fontId="7" fillId="5" borderId="0" xfId="0" applyFont="1" applyFill="1"/>
    <xf numFmtId="3" fontId="7" fillId="7" borderId="0" xfId="0" applyNumberFormat="1" applyFont="1" applyFill="1"/>
    <xf numFmtId="0" fontId="7" fillId="7" borderId="0" xfId="0" applyFont="1" applyFill="1"/>
    <xf numFmtId="0" fontId="7" fillId="3" borderId="0" xfId="0" applyFont="1" applyFill="1"/>
    <xf numFmtId="0" fontId="0" fillId="5" borderId="0" xfId="0" applyFill="1"/>
    <xf numFmtId="0" fontId="2" fillId="5" borderId="0" xfId="0" applyFont="1" applyFill="1"/>
    <xf numFmtId="3" fontId="9" fillId="5" borderId="0" xfId="0" applyNumberFormat="1" applyFont="1" applyFill="1"/>
    <xf numFmtId="0" fontId="10" fillId="0" borderId="0" xfId="0" applyFont="1" applyFill="1" applyBorder="1"/>
    <xf numFmtId="164" fontId="0" fillId="0" borderId="0" xfId="0" applyNumberFormat="1" applyFont="1"/>
    <xf numFmtId="1" fontId="7" fillId="5" borderId="0" xfId="0" applyNumberFormat="1" applyFont="1" applyFill="1"/>
    <xf numFmtId="2" fontId="0" fillId="0" borderId="0" xfId="0" applyNumberFormat="1"/>
    <xf numFmtId="3" fontId="6" fillId="7" borderId="0" xfId="0" applyNumberFormat="1" applyFont="1" applyFill="1"/>
    <xf numFmtId="0" fontId="2" fillId="0" borderId="0" xfId="0" applyFont="1" applyFill="1"/>
    <xf numFmtId="3" fontId="7" fillId="5" borderId="0" xfId="0" applyNumberFormat="1" applyFont="1" applyFill="1"/>
    <xf numFmtId="3" fontId="12" fillId="6" borderId="0" xfId="0" applyNumberFormat="1" applyFont="1" applyFill="1"/>
    <xf numFmtId="1" fontId="12" fillId="6" borderId="0" xfId="0" applyNumberFormat="1" applyFont="1" applyFill="1"/>
    <xf numFmtId="3" fontId="6" fillId="8" borderId="0" xfId="0" applyNumberFormat="1" applyFont="1" applyFill="1"/>
    <xf numFmtId="6" fontId="0" fillId="0" borderId="0" xfId="0" applyNumberFormat="1"/>
    <xf numFmtId="0" fontId="13" fillId="0" borderId="0" xfId="0" applyFont="1" applyFill="1" applyBorder="1"/>
    <xf numFmtId="0" fontId="0" fillId="3" borderId="5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horizontal="left" vertical="center" wrapText="1" indent="4"/>
    </xf>
    <xf numFmtId="0" fontId="2" fillId="9" borderId="3" xfId="0" applyFont="1" applyFill="1" applyBorder="1" applyAlignment="1">
      <alignment horizontal="left" vertical="center" wrapText="1" indent="2"/>
    </xf>
    <xf numFmtId="0" fontId="2" fillId="10" borderId="4" xfId="0" applyFont="1" applyFill="1" applyBorder="1" applyAlignment="1">
      <alignment vertical="center" wrapText="1"/>
    </xf>
    <xf numFmtId="0" fontId="0" fillId="3" borderId="5" xfId="0" applyFont="1" applyFill="1" applyBorder="1" applyAlignment="1">
      <alignment horizontal="right" vertical="center" wrapText="1"/>
    </xf>
    <xf numFmtId="6" fontId="0" fillId="3" borderId="5" xfId="0" applyNumberFormat="1" applyFont="1" applyFill="1" applyBorder="1" applyAlignment="1">
      <alignment horizontal="right" vertical="center" wrapText="1"/>
    </xf>
    <xf numFmtId="0" fontId="0" fillId="10" borderId="4" xfId="0" applyFont="1" applyFill="1" applyBorder="1" applyAlignment="1">
      <alignment vertical="center" wrapText="1"/>
    </xf>
    <xf numFmtId="3" fontId="0" fillId="3" borderId="5" xfId="0" applyNumberFormat="1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vertical="center" wrapText="1"/>
    </xf>
    <xf numFmtId="0" fontId="0" fillId="10" borderId="5" xfId="0" applyFont="1" applyFill="1" applyBorder="1" applyAlignment="1">
      <alignment vertical="center" wrapText="1"/>
    </xf>
    <xf numFmtId="6" fontId="2" fillId="10" borderId="5" xfId="0" applyNumberFormat="1" applyFont="1" applyFill="1" applyBorder="1" applyAlignment="1">
      <alignment horizontal="right" vertical="center" wrapText="1"/>
    </xf>
    <xf numFmtId="6" fontId="0" fillId="3" borderId="5" xfId="0" applyNumberFormat="1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A13" sqref="A13"/>
    </sheetView>
  </sheetViews>
  <sheetFormatPr defaultRowHeight="15" x14ac:dyDescent="0.25"/>
  <cols>
    <col min="1" max="1" width="30.28515625" customWidth="1"/>
    <col min="3" max="3" width="11.42578125" customWidth="1"/>
    <col min="4" max="4" width="13.5703125" customWidth="1"/>
    <col min="6" max="6" width="9.140625" customWidth="1"/>
    <col min="12" max="12" width="2.7109375" customWidth="1"/>
  </cols>
  <sheetData>
    <row r="1" spans="1:12" x14ac:dyDescent="0.25">
      <c r="A1" s="1" t="s">
        <v>81</v>
      </c>
      <c r="B1" s="1"/>
      <c r="C1" s="1"/>
      <c r="D1" s="1"/>
      <c r="E1" s="2" t="s">
        <v>190</v>
      </c>
      <c r="F1" s="3"/>
      <c r="H1" s="25" t="s">
        <v>206</v>
      </c>
    </row>
    <row r="2" spans="1:12" x14ac:dyDescent="0.25">
      <c r="A2" s="2" t="s">
        <v>2</v>
      </c>
      <c r="B2" s="2" t="s">
        <v>0</v>
      </c>
      <c r="C2" s="2" t="s">
        <v>1</v>
      </c>
      <c r="D2" s="2" t="s">
        <v>74</v>
      </c>
      <c r="E2" s="2" t="s">
        <v>17</v>
      </c>
      <c r="F2" s="3"/>
      <c r="H2" s="20" t="s">
        <v>207</v>
      </c>
    </row>
    <row r="3" spans="1:12" x14ac:dyDescent="0.25">
      <c r="A3" s="3">
        <v>2019</v>
      </c>
      <c r="B3" s="26">
        <f>'YE 2019'!$N$17</f>
        <v>0</v>
      </c>
      <c r="C3" s="26">
        <f>'YE 2019'!$N$38</f>
        <v>0</v>
      </c>
      <c r="D3" s="38">
        <f>SUM(B3-C3)</f>
        <v>0</v>
      </c>
      <c r="E3" s="26">
        <f>'YE 2019'!$N$7</f>
        <v>603310</v>
      </c>
      <c r="F3" s="3"/>
      <c r="H3" t="s">
        <v>215</v>
      </c>
    </row>
    <row r="4" spans="1:12" x14ac:dyDescent="0.25">
      <c r="A4" s="3">
        <v>2020</v>
      </c>
      <c r="B4" s="26">
        <f>'YE 2020'!$N$17</f>
        <v>0</v>
      </c>
      <c r="C4" s="26">
        <f>'YE 2020'!$N$38</f>
        <v>0</v>
      </c>
      <c r="D4" s="38">
        <f t="shared" ref="D4:D12" si="0">SUM(B4-C4)</f>
        <v>0</v>
      </c>
      <c r="E4" s="26">
        <f>'YE 2020'!$N$7</f>
        <v>2341240</v>
      </c>
      <c r="F4" s="3"/>
      <c r="H4" t="s">
        <v>208</v>
      </c>
    </row>
    <row r="5" spans="1:12" x14ac:dyDescent="0.25">
      <c r="A5" s="3">
        <v>2021</v>
      </c>
      <c r="B5" s="26">
        <f>'YE 2021'!$N$16</f>
        <v>183484.99999999997</v>
      </c>
      <c r="C5" s="26">
        <f>'YE 2021'!$N$27</f>
        <v>206692.59999999998</v>
      </c>
      <c r="D5" s="38">
        <f t="shared" si="0"/>
        <v>-23207.600000000006</v>
      </c>
      <c r="E5" s="26">
        <f>'YE 2021'!$N$7</f>
        <v>685310</v>
      </c>
      <c r="F5" s="3"/>
      <c r="H5" t="s">
        <v>209</v>
      </c>
    </row>
    <row r="6" spans="1:12" x14ac:dyDescent="0.25">
      <c r="A6" s="3">
        <v>2022</v>
      </c>
      <c r="B6" s="26">
        <f>'YE 2022'!$N$16</f>
        <v>339892.62000000005</v>
      </c>
      <c r="C6" s="26">
        <f>'YE 2022'!$N$27</f>
        <v>329278.80846400006</v>
      </c>
      <c r="D6" s="38">
        <f t="shared" si="0"/>
        <v>10613.811535999994</v>
      </c>
      <c r="E6" s="26">
        <f>'YE 2022'!$N$7</f>
        <v>0</v>
      </c>
      <c r="F6" s="3"/>
      <c r="H6" t="s">
        <v>211</v>
      </c>
    </row>
    <row r="7" spans="1:12" x14ac:dyDescent="0.25">
      <c r="A7" s="3">
        <v>2023</v>
      </c>
      <c r="B7" s="26">
        <f>'YE 2023'!$N$16</f>
        <v>369446</v>
      </c>
      <c r="C7" s="26">
        <f>'YE 2023'!$N$27</f>
        <v>344812.1399999999</v>
      </c>
      <c r="D7" s="38">
        <f t="shared" si="0"/>
        <v>24633.860000000102</v>
      </c>
      <c r="E7" s="26">
        <f>'YE 2023'!$N$7</f>
        <v>0</v>
      </c>
      <c r="F7" s="3"/>
      <c r="H7" t="s">
        <v>213</v>
      </c>
    </row>
    <row r="8" spans="1:12" x14ac:dyDescent="0.25">
      <c r="A8" s="3">
        <v>2024</v>
      </c>
      <c r="B8" s="26">
        <f>'YE 2024'!$N$16</f>
        <v>398440.85000000009</v>
      </c>
      <c r="C8" s="26">
        <f>'YE 2024'!$N$27</f>
        <v>362884.98590000003</v>
      </c>
      <c r="D8" s="38">
        <f t="shared" si="0"/>
        <v>35555.864100000064</v>
      </c>
      <c r="E8" s="26">
        <f>'YE 2024'!$N$7</f>
        <v>0</v>
      </c>
      <c r="F8" s="3"/>
      <c r="H8" t="s">
        <v>212</v>
      </c>
    </row>
    <row r="9" spans="1:12" x14ac:dyDescent="0.25">
      <c r="A9" s="3">
        <v>2025</v>
      </c>
      <c r="B9" s="26">
        <f>'YE 2025'!$N$16</f>
        <v>422558.44000000006</v>
      </c>
      <c r="C9" s="26">
        <f>'YE 2025'!$N$27</f>
        <v>389103.23060799995</v>
      </c>
      <c r="D9" s="38">
        <f t="shared" si="0"/>
        <v>33455.209392000106</v>
      </c>
      <c r="E9" s="26">
        <f>'YE 2025'!$N$7</f>
        <v>0</v>
      </c>
      <c r="F9" s="3"/>
    </row>
    <row r="10" spans="1:12" x14ac:dyDescent="0.25">
      <c r="A10" s="3">
        <v>2026</v>
      </c>
      <c r="B10" s="26">
        <f>'YE 2026'!$N$16</f>
        <v>434842.87000000005</v>
      </c>
      <c r="C10" s="26">
        <f>'YE 2026'!$N$27</f>
        <v>399330.07902499993</v>
      </c>
      <c r="D10" s="38">
        <f t="shared" si="0"/>
        <v>35512.790975000127</v>
      </c>
      <c r="E10" s="26">
        <f>'YE 2026'!$N$7</f>
        <v>0</v>
      </c>
      <c r="F10" s="3"/>
    </row>
    <row r="11" spans="1:12" x14ac:dyDescent="0.25">
      <c r="A11" s="3">
        <v>2027</v>
      </c>
      <c r="B11" s="26">
        <f>'YE 2027'!$N$16</f>
        <v>446111.91999999987</v>
      </c>
      <c r="C11" s="26">
        <f>'YE 2027'!$N$27</f>
        <v>411278.22000000003</v>
      </c>
      <c r="D11" s="38">
        <f t="shared" si="0"/>
        <v>34833.699999999837</v>
      </c>
      <c r="E11" s="26">
        <f>'YE 2027'!$N$7</f>
        <v>0</v>
      </c>
      <c r="F11" s="3"/>
    </row>
    <row r="12" spans="1:12" x14ac:dyDescent="0.25">
      <c r="A12" s="3">
        <v>2028</v>
      </c>
      <c r="B12" s="26">
        <f>'YE 2028'!$N$16</f>
        <v>455612.01000000007</v>
      </c>
      <c r="C12" s="26">
        <f>'YE 2028'!$N$27</f>
        <v>422261.78999999992</v>
      </c>
      <c r="D12" s="38">
        <f t="shared" si="0"/>
        <v>33350.220000000147</v>
      </c>
      <c r="E12" s="26">
        <f>'YE 2028'!$N$7</f>
        <v>0</v>
      </c>
      <c r="F12" s="3"/>
    </row>
    <row r="13" spans="1:12" x14ac:dyDescent="0.25">
      <c r="A13" s="4"/>
      <c r="B13" s="3"/>
      <c r="C13" s="3"/>
      <c r="D13" s="3"/>
      <c r="E13" s="3"/>
      <c r="F13" s="3"/>
    </row>
    <row r="15" spans="1:12" x14ac:dyDescent="0.25">
      <c r="A15" s="7" t="s">
        <v>210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3"/>
    </row>
    <row r="16" spans="1:12" x14ac:dyDescent="0.25">
      <c r="A16" s="7"/>
      <c r="B16" s="7">
        <v>2019</v>
      </c>
      <c r="C16" s="7">
        <v>2020</v>
      </c>
      <c r="D16" s="7">
        <v>2021</v>
      </c>
      <c r="E16" s="7">
        <v>2022</v>
      </c>
      <c r="F16" s="7">
        <v>2023</v>
      </c>
      <c r="G16" s="7">
        <v>2024</v>
      </c>
      <c r="H16" s="7">
        <v>2025</v>
      </c>
      <c r="I16" s="7">
        <v>2026</v>
      </c>
      <c r="J16" s="7">
        <v>2027</v>
      </c>
      <c r="K16" s="7">
        <v>2028</v>
      </c>
      <c r="L16" s="3"/>
    </row>
    <row r="17" spans="1:12" x14ac:dyDescent="0.25">
      <c r="A17" s="9" t="s">
        <v>16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3"/>
    </row>
    <row r="18" spans="1:12" x14ac:dyDescent="0.25">
      <c r="A18" s="9" t="s">
        <v>214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"/>
    </row>
    <row r="19" spans="1:12" ht="15.75" thickBot="1" x14ac:dyDescent="0.3">
      <c r="A19" s="8" t="s">
        <v>71</v>
      </c>
      <c r="B19" s="45">
        <f>'YE 2019'!N5</f>
        <v>585310</v>
      </c>
      <c r="C19" s="45">
        <f>'YE 2020'!$N$5</f>
        <v>2341240</v>
      </c>
      <c r="D19" s="45">
        <f>'YE 2021'!N5</f>
        <v>585310</v>
      </c>
      <c r="E19" s="45">
        <f>'YE 2022'!N5</f>
        <v>0</v>
      </c>
      <c r="F19" s="45">
        <f>'YE 2023'!N5</f>
        <v>0</v>
      </c>
      <c r="G19" s="45">
        <f>'YE 2024'!N5</f>
        <v>0</v>
      </c>
      <c r="H19" s="45">
        <f>'YE 2025'!N5</f>
        <v>0</v>
      </c>
      <c r="I19" s="45">
        <f>'YE 2026'!N5</f>
        <v>0</v>
      </c>
      <c r="J19" s="45">
        <f>'YE 2027'!N5</f>
        <v>0</v>
      </c>
      <c r="K19" s="45">
        <f>'YE 2028'!N5</f>
        <v>0</v>
      </c>
      <c r="L19" s="3"/>
    </row>
    <row r="20" spans="1:12" x14ac:dyDescent="0.25">
      <c r="A20" s="28" t="s">
        <v>73</v>
      </c>
      <c r="B20" s="29">
        <f>'YE 2019'!N6</f>
        <v>18000</v>
      </c>
      <c r="C20" s="45">
        <f>'YE 2020'!N4</f>
        <v>0</v>
      </c>
      <c r="D20" s="45">
        <f>'YE 2021'!N6</f>
        <v>100000</v>
      </c>
      <c r="E20" s="45">
        <f>'YE 2022'!N6</f>
        <v>0</v>
      </c>
      <c r="F20" s="45">
        <f>'YE 2023'!N6</f>
        <v>0</v>
      </c>
      <c r="G20" s="45">
        <f>'YE 2024'!N6</f>
        <v>0</v>
      </c>
      <c r="H20" s="45">
        <f>'YE 2025'!N6</f>
        <v>0</v>
      </c>
      <c r="I20" s="45">
        <f>'YE 2026'!N6</f>
        <v>0</v>
      </c>
      <c r="J20" s="45">
        <f>'YE 2027'!N6</f>
        <v>0</v>
      </c>
      <c r="K20" s="45">
        <f>'YE 2028'!N6</f>
        <v>0</v>
      </c>
      <c r="L20" s="3"/>
    </row>
    <row r="21" spans="1:12" x14ac:dyDescent="0.25">
      <c r="A21" s="7" t="s">
        <v>18</v>
      </c>
      <c r="B21" s="29">
        <f>'YE 2019'!N7</f>
        <v>603310</v>
      </c>
      <c r="C21" s="45">
        <f>'YE 2020'!N5</f>
        <v>2341240</v>
      </c>
      <c r="D21" s="45">
        <f>'YE 2021'!N7</f>
        <v>685310</v>
      </c>
      <c r="E21" s="45">
        <f>'YE 2022'!N7</f>
        <v>0</v>
      </c>
      <c r="F21" s="45">
        <f>'YE 2023'!N7</f>
        <v>0</v>
      </c>
      <c r="G21" s="45">
        <f>'YE 2024'!N7</f>
        <v>0</v>
      </c>
      <c r="H21" s="45">
        <f>'YE 2025'!N7</f>
        <v>0</v>
      </c>
      <c r="I21" s="45">
        <f>'YE 2026'!N7</f>
        <v>0</v>
      </c>
      <c r="J21" s="45">
        <f>'YE 2027'!N7</f>
        <v>0</v>
      </c>
      <c r="K21" s="45">
        <f>'YE 2028'!N7</f>
        <v>0</v>
      </c>
      <c r="L21" s="3"/>
    </row>
    <row r="22" spans="1:12" x14ac:dyDescent="0.25">
      <c r="A22" s="7" t="s">
        <v>19</v>
      </c>
      <c r="B22" s="29"/>
      <c r="C22" s="30"/>
      <c r="D22" s="30"/>
      <c r="E22" s="30"/>
      <c r="F22" s="29"/>
      <c r="G22" s="29"/>
      <c r="H22" s="29"/>
      <c r="I22" s="29"/>
      <c r="J22" s="29"/>
      <c r="K22" s="29"/>
      <c r="L22" s="3"/>
    </row>
    <row r="23" spans="1:12" x14ac:dyDescent="0.25">
      <c r="A23" s="8" t="s">
        <v>204</v>
      </c>
      <c r="B23" s="29">
        <f>'YE 2019'!N10</f>
        <v>0</v>
      </c>
      <c r="C23" s="29">
        <f>'YE 2020'!N10</f>
        <v>0</v>
      </c>
      <c r="D23" s="29">
        <f>'YE 2021'!N10</f>
        <v>64425</v>
      </c>
      <c r="E23" s="29">
        <f>'YE 2022'!N10</f>
        <v>103075</v>
      </c>
      <c r="F23" s="29">
        <f>'YE 2023'!N10</f>
        <v>113400</v>
      </c>
      <c r="G23" s="29">
        <f>'YE 2024'!N10</f>
        <v>120856.25</v>
      </c>
      <c r="H23" s="29">
        <f>'YE 2025'!N10</f>
        <v>127237.5</v>
      </c>
      <c r="I23" s="29">
        <f>'YE 2026'!N10</f>
        <v>134756.25</v>
      </c>
      <c r="J23" s="29">
        <f>'YE 2027'!N10</f>
        <v>140637.5</v>
      </c>
      <c r="K23" s="29">
        <f>'YE 2028'!N10</f>
        <v>144731.25</v>
      </c>
      <c r="L23" s="3"/>
    </row>
    <row r="24" spans="1:12" x14ac:dyDescent="0.25">
      <c r="A24" s="15" t="s">
        <v>99</v>
      </c>
      <c r="B24" s="29">
        <f>'YE 2019'!N11</f>
        <v>0</v>
      </c>
      <c r="C24" s="29">
        <f>'YE 2020'!N11</f>
        <v>0</v>
      </c>
      <c r="D24" s="29">
        <f>'YE 2021'!N11</f>
        <v>21635</v>
      </c>
      <c r="E24" s="29">
        <f>'YE 2022'!N11</f>
        <v>51675</v>
      </c>
      <c r="F24" s="29">
        <f>'YE 2023'!N11</f>
        <v>60025</v>
      </c>
      <c r="G24" s="29">
        <f>'YE 2024'!N11</f>
        <v>68547</v>
      </c>
      <c r="H24" s="29">
        <f>'YE 2025'!N11</f>
        <v>73374.38</v>
      </c>
      <c r="I24" s="29">
        <f>'YE 2026'!N11</f>
        <v>73374.38</v>
      </c>
      <c r="J24" s="29">
        <f>'YE 2027'!N11</f>
        <v>73971.78</v>
      </c>
      <c r="K24" s="29">
        <f>'YE 2028'!N11</f>
        <v>74563.000000000015</v>
      </c>
      <c r="L24" s="3"/>
    </row>
    <row r="25" spans="1:12" x14ac:dyDescent="0.25">
      <c r="A25" s="15" t="s">
        <v>100</v>
      </c>
      <c r="B25" s="29">
        <f>'YE 2019'!N12</f>
        <v>0</v>
      </c>
      <c r="C25" s="29">
        <f>'YE 2020'!N12</f>
        <v>0</v>
      </c>
      <c r="D25" s="29">
        <f>'YE 2021'!N12</f>
        <v>19005</v>
      </c>
      <c r="E25" s="29">
        <f>'YE 2022'!N12</f>
        <v>29877.5</v>
      </c>
      <c r="F25" s="29">
        <f>'YE 2023'!N12</f>
        <v>32065</v>
      </c>
      <c r="G25" s="29">
        <f>'YE 2024'!N12</f>
        <v>34372.5</v>
      </c>
      <c r="H25" s="29">
        <f>'YE 2025'!N12</f>
        <v>36560</v>
      </c>
      <c r="I25" s="29">
        <f>'YE 2026'!N12</f>
        <v>36560</v>
      </c>
      <c r="J25" s="29">
        <f>'YE 2027'!N12</f>
        <v>36560</v>
      </c>
      <c r="K25" s="29">
        <f>'YE 2028'!N12</f>
        <v>36560</v>
      </c>
      <c r="L25" s="3"/>
    </row>
    <row r="26" spans="1:12" x14ac:dyDescent="0.25">
      <c r="A26" s="15" t="s">
        <v>102</v>
      </c>
      <c r="B26" s="29">
        <f>'YE 2019'!N13</f>
        <v>0</v>
      </c>
      <c r="C26" s="29">
        <f>'YE 2020'!N13</f>
        <v>0</v>
      </c>
      <c r="D26" s="29">
        <f>'YE 2021'!N13</f>
        <v>61170</v>
      </c>
      <c r="E26" s="29">
        <f>'YE 2022'!N13</f>
        <v>131571</v>
      </c>
      <c r="F26" s="29">
        <f>'YE 2023'!N13</f>
        <v>139545</v>
      </c>
      <c r="G26" s="29">
        <f>'YE 2024'!N13</f>
        <v>149512.5</v>
      </c>
      <c r="H26" s="29">
        <f>'YE 2025'!N13</f>
        <v>159480</v>
      </c>
      <c r="I26" s="29">
        <f>'YE 2026'!N13</f>
        <v>163467</v>
      </c>
      <c r="J26" s="29">
        <f>'YE 2027'!N13</f>
        <v>167454</v>
      </c>
      <c r="K26" s="29">
        <f>'YE 2028'!N13</f>
        <v>171441</v>
      </c>
      <c r="L26" s="3"/>
    </row>
    <row r="27" spans="1:12" x14ac:dyDescent="0.25">
      <c r="A27" s="15" t="s">
        <v>154</v>
      </c>
      <c r="B27" s="29">
        <f>'YE 2019'!N14</f>
        <v>0</v>
      </c>
      <c r="C27" s="29">
        <f>'YE 2020'!N14</f>
        <v>0</v>
      </c>
      <c r="D27" s="29">
        <f>'YE 2021'!N14</f>
        <v>11250</v>
      </c>
      <c r="E27" s="29">
        <f>'YE 2022'!N14</f>
        <v>15450</v>
      </c>
      <c r="F27" s="29">
        <f>'YE 2023'!N14</f>
        <v>15919.679999999998</v>
      </c>
      <c r="G27" s="29">
        <f>'YE 2024'!N14</f>
        <v>16401.719999999998</v>
      </c>
      <c r="H27" s="29">
        <f>'YE 2025'!N14</f>
        <v>16896.12</v>
      </c>
      <c r="I27" s="29">
        <f>'YE 2026'!N14</f>
        <v>17402.88</v>
      </c>
      <c r="J27" s="29">
        <f>'YE 2027'!N14</f>
        <v>17922</v>
      </c>
      <c r="K27" s="29">
        <f>'YE 2028'!N14</f>
        <v>18465.84</v>
      </c>
      <c r="L27" s="3"/>
    </row>
    <row r="28" spans="1:12" x14ac:dyDescent="0.25">
      <c r="A28" s="8" t="s">
        <v>80</v>
      </c>
      <c r="B28" s="29">
        <f>'YE 2019'!N15</f>
        <v>0</v>
      </c>
      <c r="C28" s="29">
        <f>'YE 2020'!N15</f>
        <v>0</v>
      </c>
      <c r="D28" s="29">
        <f>'YE 2021'!N15</f>
        <v>6000.0000000000018</v>
      </c>
      <c r="E28" s="29">
        <f>'YE 2022'!N15</f>
        <v>8244.1200000000008</v>
      </c>
      <c r="F28" s="29">
        <f>'YE 2023'!N15</f>
        <v>8491.3199999999979</v>
      </c>
      <c r="G28" s="29">
        <f>'YE 2024'!N15</f>
        <v>8750.8799999999992</v>
      </c>
      <c r="H28" s="29">
        <f>'YE 2025'!N15</f>
        <v>9010.44</v>
      </c>
      <c r="I28" s="29">
        <f>'YE 2026'!N15</f>
        <v>9282.3599999999988</v>
      </c>
      <c r="J28" s="29">
        <f>'YE 2027'!N15</f>
        <v>9566.6400000000012</v>
      </c>
      <c r="K28" s="29">
        <f>'YE 2028'!N15</f>
        <v>9850.92</v>
      </c>
      <c r="L28" s="3"/>
    </row>
    <row r="29" spans="1:12" x14ac:dyDescent="0.25">
      <c r="A29" s="7" t="s">
        <v>21</v>
      </c>
      <c r="B29" s="29">
        <f>'YE 2019'!N16</f>
        <v>0</v>
      </c>
      <c r="C29" s="29">
        <f>'YE 2020'!N16</f>
        <v>0</v>
      </c>
      <c r="D29" s="29">
        <f>'YE 2021'!N16</f>
        <v>183484.99999999997</v>
      </c>
      <c r="E29" s="29">
        <f>'YE 2022'!N16</f>
        <v>339892.62000000005</v>
      </c>
      <c r="F29" s="29">
        <f>'YE 2023'!N16</f>
        <v>369446</v>
      </c>
      <c r="G29" s="29">
        <f>'YE 2024'!N16</f>
        <v>398440.85000000009</v>
      </c>
      <c r="H29" s="29">
        <f>'YE 2025'!N16</f>
        <v>422558.44000000006</v>
      </c>
      <c r="I29" s="29">
        <f>'YE 2026'!N16</f>
        <v>434842.87000000005</v>
      </c>
      <c r="J29" s="29">
        <f>'YE 2027'!N16</f>
        <v>446111.91999999987</v>
      </c>
      <c r="K29" s="29">
        <f>'YE 2028'!N16</f>
        <v>455612.01000000007</v>
      </c>
      <c r="L29" s="3"/>
    </row>
    <row r="30" spans="1:12" x14ac:dyDescent="0.25">
      <c r="A30" s="7" t="s">
        <v>22</v>
      </c>
      <c r="B30" s="47">
        <f>'YE 2019'!$N$18</f>
        <v>603310</v>
      </c>
      <c r="C30" s="47">
        <f>'YE 2020'!$N$18</f>
        <v>2341240</v>
      </c>
      <c r="D30" s="47">
        <f>'YE 2021'!$N$17</f>
        <v>868795</v>
      </c>
      <c r="E30" s="47">
        <f>'YE 2022'!N17</f>
        <v>339892.62000000005</v>
      </c>
      <c r="F30" s="47">
        <f>'YE 2023'!N17</f>
        <v>369446</v>
      </c>
      <c r="G30" s="47">
        <f>'YE 2024'!N17</f>
        <v>398440.85000000009</v>
      </c>
      <c r="H30" s="47">
        <f>'YE 2025'!N17</f>
        <v>422558.44000000006</v>
      </c>
      <c r="I30" s="47">
        <f>'YE 2026'!N17</f>
        <v>434842.87000000005</v>
      </c>
      <c r="J30" s="47">
        <f>'YE 2027'!N17</f>
        <v>446111.91999999987</v>
      </c>
      <c r="K30" s="47">
        <f>'YE 2028'!N17</f>
        <v>455612.01000000007</v>
      </c>
      <c r="L30" s="3"/>
    </row>
    <row r="31" spans="1:12" x14ac:dyDescent="0.25">
      <c r="A31" s="7" t="s">
        <v>1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3"/>
    </row>
    <row r="32" spans="1:12" x14ac:dyDescent="0.25">
      <c r="A32" s="8" t="s">
        <v>72</v>
      </c>
      <c r="B32" s="45">
        <f>'YE 2019'!N20</f>
        <v>603310</v>
      </c>
      <c r="C32" s="45">
        <f>'YE 2020'!N20</f>
        <v>2341240</v>
      </c>
      <c r="D32" s="45">
        <f>'YE 2021'!N19</f>
        <v>635169</v>
      </c>
      <c r="E32" s="45">
        <f>'YE 2022'!N19</f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"/>
    </row>
    <row r="33" spans="1:12" x14ac:dyDescent="0.25">
      <c r="A33" s="8" t="s">
        <v>28</v>
      </c>
      <c r="B33" s="41">
        <f>'YE 2019'!N21</f>
        <v>0</v>
      </c>
      <c r="C33" s="41">
        <f>'YE 2020'!N21</f>
        <v>0</v>
      </c>
      <c r="D33" s="29">
        <f>'YE 2021'!N20</f>
        <v>74351.220000000016</v>
      </c>
      <c r="E33" s="29">
        <f>'YE 2022'!N20</f>
        <v>127020.618464</v>
      </c>
      <c r="F33" s="45">
        <f>'YE 2023'!N20</f>
        <v>130830.60000000002</v>
      </c>
      <c r="G33" s="45">
        <f>'YE 2024'!N20</f>
        <v>134755.51799999998</v>
      </c>
      <c r="H33" s="45">
        <f>'YE 2025'!N20</f>
        <v>138798.18354000003</v>
      </c>
      <c r="I33" s="45">
        <f>'YE 2026'!N20</f>
        <v>142968.11999999997</v>
      </c>
      <c r="J33" s="45">
        <f>'YE 2027'!N20</f>
        <v>147257.04</v>
      </c>
      <c r="K33" s="45">
        <f>'YE 2028'!N20</f>
        <v>151669.56000000003</v>
      </c>
      <c r="L33" s="3"/>
    </row>
    <row r="34" spans="1:12" x14ac:dyDescent="0.25">
      <c r="A34" s="8" t="s">
        <v>152</v>
      </c>
      <c r="B34" s="29">
        <f>'YE 2019'!N22</f>
        <v>0</v>
      </c>
      <c r="C34" s="29">
        <f>'YE 2020'!N22</f>
        <v>0</v>
      </c>
      <c r="D34" s="29">
        <f>'YE 2021'!N21</f>
        <v>27299.999999999996</v>
      </c>
      <c r="E34" s="29">
        <f>'YE 2022'!N21</f>
        <v>37492</v>
      </c>
      <c r="F34" s="29">
        <f>'YE 2023'!N21</f>
        <v>41801.519999999997</v>
      </c>
      <c r="G34" s="29">
        <f>'YE 2024'!N21</f>
        <v>43055.565600000002</v>
      </c>
      <c r="H34" s="29">
        <f>'YE 2025'!N21</f>
        <v>44347.232567999999</v>
      </c>
      <c r="I34" s="29">
        <f>'YE 2026'!N21</f>
        <v>45682.559999999998</v>
      </c>
      <c r="J34" s="29">
        <f>'YE 2027'!N21</f>
        <v>47054.52</v>
      </c>
      <c r="K34" s="29">
        <f>'YE 2028'!N21</f>
        <v>48463.56</v>
      </c>
      <c r="L34" s="3"/>
    </row>
    <row r="35" spans="1:12" x14ac:dyDescent="0.25">
      <c r="A35" s="15" t="s">
        <v>20</v>
      </c>
      <c r="B35" s="29">
        <f>'YE 2019'!N25</f>
        <v>0</v>
      </c>
      <c r="C35" s="29">
        <f>'YE 2020'!N25</f>
        <v>0</v>
      </c>
      <c r="D35" s="29">
        <f>'YE 2021'!N24</f>
        <v>65215.467999999993</v>
      </c>
      <c r="E35" s="29">
        <f>'YE 2022'!N24</f>
        <v>97372.77</v>
      </c>
      <c r="F35" s="29">
        <f>'YE 2023'!N24</f>
        <v>103102.56</v>
      </c>
      <c r="G35" s="29">
        <f>'YE 2024'!N24</f>
        <v>107903.14230000001</v>
      </c>
      <c r="H35" s="29">
        <f>'YE 2025'!N24</f>
        <v>112278.1945</v>
      </c>
      <c r="I35" s="29">
        <f>'YE 2026'!N24</f>
        <v>117303.75902500001</v>
      </c>
      <c r="J35" s="29">
        <f>'YE 2027'!N24</f>
        <v>121479.65</v>
      </c>
      <c r="K35" s="29">
        <f>'YE 2028'!N24</f>
        <v>124987.62999999999</v>
      </c>
      <c r="L35" s="3"/>
    </row>
    <row r="36" spans="1:12" x14ac:dyDescent="0.25">
      <c r="A36" s="15" t="s">
        <v>99</v>
      </c>
      <c r="B36" s="29">
        <f>'YE 2019'!N23</f>
        <v>0</v>
      </c>
      <c r="C36" s="29">
        <f>'YE 2020'!N23</f>
        <v>0</v>
      </c>
      <c r="D36" s="29">
        <f>'YE 2021'!N22</f>
        <v>4300</v>
      </c>
      <c r="E36" s="29">
        <f>'YE 2022'!N22</f>
        <v>20900</v>
      </c>
      <c r="F36" s="29">
        <f>'YE 2023'!N22</f>
        <v>20350</v>
      </c>
      <c r="G36" s="29">
        <f>'YE 2024'!N22</f>
        <v>25500</v>
      </c>
      <c r="H36" s="29">
        <f>'YE 2025'!N22</f>
        <v>25905.9</v>
      </c>
      <c r="I36" s="29">
        <f>'YE 2026'!N22</f>
        <v>25905.9</v>
      </c>
      <c r="J36" s="29">
        <f>'YE 2027'!N22</f>
        <v>26261.249999999996</v>
      </c>
      <c r="K36" s="29">
        <f>'YE 2028'!N22</f>
        <v>26626.9</v>
      </c>
      <c r="L36" s="3"/>
    </row>
    <row r="37" spans="1:12" x14ac:dyDescent="0.25">
      <c r="A37" s="15" t="s">
        <v>102</v>
      </c>
      <c r="B37" s="29">
        <f>'YE 2019'!N24</f>
        <v>0</v>
      </c>
      <c r="C37" s="29">
        <f>'YE 2020'!N24</f>
        <v>0</v>
      </c>
      <c r="D37" s="29">
        <f>'YE 2021'!N23</f>
        <v>27525.911999999993</v>
      </c>
      <c r="E37" s="29">
        <f>'YE 2022'!N23</f>
        <v>41493.420000000006</v>
      </c>
      <c r="F37" s="29">
        <f>'YE 2023'!N23</f>
        <v>43727.460000000014</v>
      </c>
      <c r="G37" s="29">
        <f>'YE 2024'!N23</f>
        <v>46670.760000000009</v>
      </c>
      <c r="H37" s="29">
        <f>'YE 2025'!N23</f>
        <v>50773.719999999987</v>
      </c>
      <c r="I37" s="29">
        <f>'YE 2026'!N23</f>
        <v>50469.740000000005</v>
      </c>
      <c r="J37" s="29">
        <f>'YE 2027'!N23</f>
        <v>52225.759999999995</v>
      </c>
      <c r="K37" s="29">
        <f>'YE 2028'!N23</f>
        <v>53514.139999999992</v>
      </c>
      <c r="L37" s="3"/>
    </row>
    <row r="38" spans="1:12" x14ac:dyDescent="0.25">
      <c r="A38" s="8" t="s">
        <v>153</v>
      </c>
      <c r="B38" s="29">
        <f>'YE 2019'!N26</f>
        <v>0</v>
      </c>
      <c r="C38" s="29">
        <f>'YE 2020'!N26</f>
        <v>0</v>
      </c>
      <c r="D38" s="29">
        <f>'YE 2021'!N25</f>
        <v>0</v>
      </c>
      <c r="E38" s="29">
        <f>'YE 2022'!N25</f>
        <v>0</v>
      </c>
      <c r="F38" s="29">
        <f>'YE 2023'!N25</f>
        <v>0</v>
      </c>
      <c r="G38" s="29">
        <f>'YE 2024'!N25</f>
        <v>0</v>
      </c>
      <c r="H38" s="29">
        <f>'YE 2025'!N25</f>
        <v>12000</v>
      </c>
      <c r="I38" s="29">
        <f>'YE 2026'!N25</f>
        <v>12000</v>
      </c>
      <c r="J38" s="29">
        <f>'YE 2027'!N25</f>
        <v>12000</v>
      </c>
      <c r="K38" s="29">
        <f>'YE 2028'!N25</f>
        <v>12000</v>
      </c>
      <c r="L38" s="3"/>
    </row>
    <row r="39" spans="1:12" x14ac:dyDescent="0.25">
      <c r="A39" s="8" t="s">
        <v>176</v>
      </c>
      <c r="B39" s="29">
        <f>'YE 2019'!N27</f>
        <v>0</v>
      </c>
      <c r="C39" s="29">
        <f>'YE 2020'!N27</f>
        <v>0</v>
      </c>
      <c r="D39" s="29">
        <f>'YE 2021'!N26</f>
        <v>8000</v>
      </c>
      <c r="E39" s="29">
        <f>'YE 2022'!N26</f>
        <v>5000</v>
      </c>
      <c r="F39" s="29">
        <f>'YE 2023'!N26</f>
        <v>5000</v>
      </c>
      <c r="G39" s="29">
        <f>'YE 2024'!N26</f>
        <v>5000</v>
      </c>
      <c r="H39" s="29">
        <f>'YE 2025'!N26</f>
        <v>5000</v>
      </c>
      <c r="I39" s="29">
        <f>'YE 2026'!N26</f>
        <v>5000</v>
      </c>
      <c r="J39" s="29">
        <f>'YE 2027'!N26</f>
        <v>5000</v>
      </c>
      <c r="K39" s="29">
        <f>'YE 2028'!N26</f>
        <v>5000</v>
      </c>
      <c r="L39" s="3"/>
    </row>
    <row r="40" spans="1:12" x14ac:dyDescent="0.25">
      <c r="A40" s="7" t="s">
        <v>21</v>
      </c>
      <c r="B40" s="46">
        <f>'YE 2019'!N28</f>
        <v>0</v>
      </c>
      <c r="C40" s="46">
        <f>'YE 2020'!N28</f>
        <v>0</v>
      </c>
      <c r="D40" s="46">
        <f>'YE 2021'!N27</f>
        <v>206692.59999999998</v>
      </c>
      <c r="E40" s="46">
        <f>'YE 2022'!N27</f>
        <v>329278.80846400006</v>
      </c>
      <c r="F40" s="46">
        <f>'YE 2023'!N27</f>
        <v>344812.1399999999</v>
      </c>
      <c r="G40" s="46">
        <f>'YE 2024'!N27</f>
        <v>362884.98590000003</v>
      </c>
      <c r="H40" s="46">
        <f>'YE 2025'!N27</f>
        <v>389103.23060799995</v>
      </c>
      <c r="I40" s="46">
        <f>'YE 2026'!N27</f>
        <v>399330.07902499993</v>
      </c>
      <c r="J40" s="46">
        <f>'YE 2027'!N27</f>
        <v>411278.22000000003</v>
      </c>
      <c r="K40" s="46">
        <f>'YE 2028'!N27</f>
        <v>422261.78999999992</v>
      </c>
      <c r="L40" s="3"/>
    </row>
    <row r="41" spans="1:12" x14ac:dyDescent="0.25">
      <c r="A41" s="7"/>
      <c r="B41" s="45"/>
      <c r="C41" s="32"/>
      <c r="D41" s="32"/>
      <c r="E41" s="32"/>
      <c r="F41" s="46"/>
      <c r="G41" s="46"/>
      <c r="H41" s="46"/>
      <c r="I41" s="46"/>
      <c r="J41" s="46"/>
      <c r="K41" s="46"/>
      <c r="L41" s="3"/>
    </row>
    <row r="42" spans="1:12" x14ac:dyDescent="0.25">
      <c r="A42" s="7" t="s">
        <v>205</v>
      </c>
      <c r="B42" s="48">
        <f>'YE 2019'!N32</f>
        <v>0</v>
      </c>
      <c r="C42" s="48">
        <f>SUM(B43)</f>
        <v>0</v>
      </c>
      <c r="D42" s="48">
        <f t="shared" ref="D42:K42" si="1">SUM(D30-D40)</f>
        <v>662102.4</v>
      </c>
      <c r="E42" s="48">
        <f t="shared" si="1"/>
        <v>10613.811535999994</v>
      </c>
      <c r="F42" s="48">
        <f t="shared" si="1"/>
        <v>24633.860000000102</v>
      </c>
      <c r="G42" s="48">
        <f t="shared" si="1"/>
        <v>35555.864100000064</v>
      </c>
      <c r="H42" s="48">
        <f t="shared" si="1"/>
        <v>33455.209392000106</v>
      </c>
      <c r="I42" s="48">
        <f t="shared" si="1"/>
        <v>35512.790975000127</v>
      </c>
      <c r="J42" s="48">
        <f t="shared" si="1"/>
        <v>34833.699999999837</v>
      </c>
      <c r="K42" s="48">
        <f t="shared" si="1"/>
        <v>33350.220000000147</v>
      </c>
      <c r="L42" s="3"/>
    </row>
  </sheetData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workbookViewId="0">
      <selection activeCell="C15" sqref="C15:M15"/>
    </sheetView>
  </sheetViews>
  <sheetFormatPr defaultColWidth="9.28515625" defaultRowHeight="15" x14ac:dyDescent="0.25"/>
  <cols>
    <col min="1" max="1" width="27" style="5" customWidth="1"/>
    <col min="2" max="3" width="10.28515625" style="5" bestFit="1" customWidth="1"/>
    <col min="4" max="14" width="9.28515625" style="5"/>
    <col min="15" max="15" width="3.5703125" style="5" customWidth="1"/>
    <col min="16" max="16" width="15.28515625" style="5" customWidth="1"/>
    <col min="17" max="16384" width="9.28515625" style="5"/>
  </cols>
  <sheetData>
    <row r="1" spans="1:16" x14ac:dyDescent="0.25">
      <c r="A1" s="7" t="s">
        <v>198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x14ac:dyDescent="0.25">
      <c r="A2" s="7"/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3</v>
      </c>
      <c r="O2" s="8"/>
    </row>
    <row r="3" spans="1:16" x14ac:dyDescent="0.25">
      <c r="A3" s="9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3"/>
      <c r="O3" s="13"/>
    </row>
    <row r="4" spans="1:16" x14ac:dyDescent="0.25">
      <c r="A4" s="7" t="s">
        <v>17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3"/>
      <c r="O4" s="13"/>
    </row>
    <row r="5" spans="1:16" ht="15.75" thickBot="1" x14ac:dyDescent="0.3">
      <c r="A5" s="8" t="s">
        <v>71</v>
      </c>
      <c r="B5" s="32">
        <v>0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3">
        <f t="shared" ref="N5:N6" si="0">SUM(B5:M5)</f>
        <v>0</v>
      </c>
      <c r="O5" s="8"/>
    </row>
    <row r="6" spans="1:16" x14ac:dyDescent="0.25">
      <c r="A6" s="28" t="s">
        <v>73</v>
      </c>
      <c r="B6" s="29">
        <v>0</v>
      </c>
      <c r="C6" s="29">
        <v>0</v>
      </c>
      <c r="D6" s="29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3">
        <f t="shared" si="0"/>
        <v>0</v>
      </c>
      <c r="O6" s="8"/>
    </row>
    <row r="7" spans="1:16" x14ac:dyDescent="0.25">
      <c r="A7" s="7" t="s">
        <v>18</v>
      </c>
      <c r="B7" s="29">
        <f t="shared" ref="B7:N7" si="1">SUM(B5:B6)</f>
        <v>0</v>
      </c>
      <c r="C7" s="29">
        <f t="shared" si="1"/>
        <v>0</v>
      </c>
      <c r="D7" s="29">
        <f t="shared" si="1"/>
        <v>0</v>
      </c>
      <c r="E7" s="29">
        <f t="shared" si="1"/>
        <v>0</v>
      </c>
      <c r="F7" s="29">
        <f t="shared" si="1"/>
        <v>0</v>
      </c>
      <c r="G7" s="29">
        <f t="shared" si="1"/>
        <v>0</v>
      </c>
      <c r="H7" s="29">
        <f t="shared" si="1"/>
        <v>0</v>
      </c>
      <c r="I7" s="29">
        <f t="shared" si="1"/>
        <v>0</v>
      </c>
      <c r="J7" s="29">
        <f t="shared" si="1"/>
        <v>0</v>
      </c>
      <c r="K7" s="29">
        <f t="shared" si="1"/>
        <v>0</v>
      </c>
      <c r="L7" s="29">
        <f t="shared" si="1"/>
        <v>0</v>
      </c>
      <c r="M7" s="29">
        <f t="shared" si="1"/>
        <v>0</v>
      </c>
      <c r="N7" s="33">
        <f t="shared" si="1"/>
        <v>0</v>
      </c>
      <c r="O7" s="8"/>
      <c r="P7" s="6"/>
    </row>
    <row r="8" spans="1:16" x14ac:dyDescent="0.25">
      <c r="A8" s="7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3"/>
      <c r="O8" s="8"/>
      <c r="P8" s="6"/>
    </row>
    <row r="9" spans="1:16" x14ac:dyDescent="0.25">
      <c r="A9" s="7" t="s">
        <v>19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3"/>
      <c r="O9" s="8"/>
    </row>
    <row r="10" spans="1:16" x14ac:dyDescent="0.25">
      <c r="A10" s="8" t="s">
        <v>20</v>
      </c>
      <c r="B10" s="29">
        <f>Cafe!B169</f>
        <v>15275</v>
      </c>
      <c r="C10" s="29">
        <f>Cafe!C169</f>
        <v>12950</v>
      </c>
      <c r="D10" s="29">
        <f>Cafe!D169</f>
        <v>10550</v>
      </c>
      <c r="E10" s="29">
        <f>Cafe!E169</f>
        <v>12875</v>
      </c>
      <c r="F10" s="29">
        <f>Cafe!F169</f>
        <v>21100</v>
      </c>
      <c r="G10" s="29">
        <f>Cafe!G169</f>
        <v>12950</v>
      </c>
      <c r="H10" s="29">
        <f>Cafe!H169</f>
        <v>12875</v>
      </c>
      <c r="I10" s="29">
        <f>Cafe!I169</f>
        <v>5675</v>
      </c>
      <c r="J10" s="29">
        <f>Cafe!J169</f>
        <v>14875</v>
      </c>
      <c r="K10" s="29">
        <f>Cafe!K169</f>
        <v>5500</v>
      </c>
      <c r="L10" s="29">
        <f>Cafe!L169</f>
        <v>5012.5</v>
      </c>
      <c r="M10" s="29">
        <f>Cafe!M169</f>
        <v>11000</v>
      </c>
      <c r="N10" s="33">
        <f>SUM(B10:M10)</f>
        <v>140637.5</v>
      </c>
      <c r="O10" s="8"/>
    </row>
    <row r="11" spans="1:16" x14ac:dyDescent="0.25">
      <c r="A11" s="15" t="s">
        <v>99</v>
      </c>
      <c r="B11" s="29">
        <f>Theatre!B80</f>
        <v>18609.89</v>
      </c>
      <c r="C11" s="29">
        <f>Theatre!C80</f>
        <v>2285.5699999999997</v>
      </c>
      <c r="D11" s="29">
        <f>Theatre!D80</f>
        <v>1609.8899999999999</v>
      </c>
      <c r="E11" s="29">
        <f>Theatre!E80</f>
        <v>17155.53</v>
      </c>
      <c r="F11" s="29">
        <f>Theatre!F80</f>
        <v>787.95</v>
      </c>
      <c r="G11" s="29">
        <f>Theatre!G80</f>
        <v>2285.5699999999997</v>
      </c>
      <c r="H11" s="29">
        <f>Theatre!H80</f>
        <v>18609.89</v>
      </c>
      <c r="I11" s="29">
        <f>Theatre!I80</f>
        <v>1609.8899999999999</v>
      </c>
      <c r="J11" s="29">
        <f>Theatre!J80</f>
        <v>2137.25</v>
      </c>
      <c r="K11" s="29">
        <f>Theatre!K80</f>
        <v>1609.8899999999999</v>
      </c>
      <c r="L11" s="29">
        <f>Theatre!L80</f>
        <v>4984.8899999999994</v>
      </c>
      <c r="M11" s="29">
        <f>Theatre!M80</f>
        <v>2285.5699999999997</v>
      </c>
      <c r="N11" s="33">
        <f>SUM(B11:M11)</f>
        <v>73971.78</v>
      </c>
      <c r="O11" s="8"/>
    </row>
    <row r="12" spans="1:16" x14ac:dyDescent="0.25">
      <c r="A12" s="15" t="s">
        <v>100</v>
      </c>
      <c r="B12" s="29">
        <f>'Soft Play'!B49</f>
        <v>3130</v>
      </c>
      <c r="C12" s="29">
        <f>'Soft Play'!C49</f>
        <v>3130</v>
      </c>
      <c r="D12" s="29">
        <f>'Soft Play'!D49</f>
        <v>3130</v>
      </c>
      <c r="E12" s="29">
        <f>'Soft Play'!E49</f>
        <v>3230</v>
      </c>
      <c r="F12" s="29">
        <f>'Soft Play'!F49</f>
        <v>3230</v>
      </c>
      <c r="G12" s="29">
        <f>'Soft Play'!G49</f>
        <v>3130</v>
      </c>
      <c r="H12" s="29">
        <f>'Soft Play'!H49</f>
        <v>3230</v>
      </c>
      <c r="I12" s="29">
        <f>'Soft Play'!I49</f>
        <v>3130</v>
      </c>
      <c r="J12" s="29">
        <f>'Soft Play'!J49</f>
        <v>2530</v>
      </c>
      <c r="K12" s="29">
        <f>'Soft Play'!K49</f>
        <v>2530</v>
      </c>
      <c r="L12" s="29">
        <f>'Soft Play'!L49</f>
        <v>2930</v>
      </c>
      <c r="M12" s="29">
        <f>'Soft Play'!M49</f>
        <v>3230</v>
      </c>
      <c r="N12" s="33">
        <f t="shared" ref="N12:N15" si="2">SUM(B12:M12)</f>
        <v>36560</v>
      </c>
      <c r="O12" s="8"/>
    </row>
    <row r="13" spans="1:16" x14ac:dyDescent="0.25">
      <c r="A13" s="15" t="s">
        <v>102</v>
      </c>
      <c r="B13" s="29">
        <f>Bunkhouse!B106</f>
        <v>25200</v>
      </c>
      <c r="C13" s="29">
        <f>Bunkhouse!C106</f>
        <v>13020</v>
      </c>
      <c r="D13" s="29">
        <f>Bunkhouse!D106</f>
        <v>17640</v>
      </c>
      <c r="E13" s="29">
        <f>Bunkhouse!E106</f>
        <v>31248</v>
      </c>
      <c r="F13" s="29">
        <f>Bunkhouse!F106</f>
        <v>31248</v>
      </c>
      <c r="G13" s="29">
        <f>Bunkhouse!G106</f>
        <v>17640</v>
      </c>
      <c r="H13" s="29">
        <f>Bunkhouse!H106</f>
        <v>13020</v>
      </c>
      <c r="I13" s="29">
        <f>Bunkhouse!I106</f>
        <v>2520</v>
      </c>
      <c r="J13" s="29">
        <f>Bunkhouse!J106</f>
        <v>7056</v>
      </c>
      <c r="K13" s="29">
        <f>Bunkhouse!K106</f>
        <v>2604</v>
      </c>
      <c r="L13" s="29">
        <f>Bunkhouse!L106</f>
        <v>2352</v>
      </c>
      <c r="M13" s="29">
        <f>Bunkhouse!M106</f>
        <v>3906</v>
      </c>
      <c r="N13" s="33">
        <f t="shared" si="2"/>
        <v>167454</v>
      </c>
      <c r="O13" s="8"/>
    </row>
    <row r="14" spans="1:16" x14ac:dyDescent="0.25">
      <c r="A14" s="15" t="s">
        <v>174</v>
      </c>
      <c r="B14" s="29">
        <f>SUM(1450)/100*103</f>
        <v>1493.5</v>
      </c>
      <c r="C14" s="29">
        <f t="shared" ref="C14:M14" si="3">SUM(1450)/100*103</f>
        <v>1493.5</v>
      </c>
      <c r="D14" s="29">
        <f t="shared" si="3"/>
        <v>1493.5</v>
      </c>
      <c r="E14" s="29">
        <f t="shared" si="3"/>
        <v>1493.5</v>
      </c>
      <c r="F14" s="29">
        <f t="shared" si="3"/>
        <v>1493.5</v>
      </c>
      <c r="G14" s="29">
        <f t="shared" si="3"/>
        <v>1493.5</v>
      </c>
      <c r="H14" s="29">
        <f t="shared" si="3"/>
        <v>1493.5</v>
      </c>
      <c r="I14" s="29">
        <f t="shared" si="3"/>
        <v>1493.5</v>
      </c>
      <c r="J14" s="29">
        <f t="shared" si="3"/>
        <v>1493.5</v>
      </c>
      <c r="K14" s="29">
        <f t="shared" si="3"/>
        <v>1493.5</v>
      </c>
      <c r="L14" s="29">
        <f t="shared" si="3"/>
        <v>1493.5</v>
      </c>
      <c r="M14" s="29">
        <f t="shared" si="3"/>
        <v>1493.5</v>
      </c>
      <c r="N14" s="33">
        <f t="shared" si="2"/>
        <v>17922</v>
      </c>
      <c r="O14" s="8"/>
    </row>
    <row r="15" spans="1:16" x14ac:dyDescent="0.25">
      <c r="A15" s="8" t="s">
        <v>189</v>
      </c>
      <c r="B15" s="29">
        <f>SUM(774/100*103)</f>
        <v>797.22</v>
      </c>
      <c r="C15" s="29">
        <f t="shared" ref="C15:M15" si="4">SUM(774/100*103)</f>
        <v>797.22</v>
      </c>
      <c r="D15" s="29">
        <f t="shared" si="4"/>
        <v>797.22</v>
      </c>
      <c r="E15" s="29">
        <f t="shared" si="4"/>
        <v>797.22</v>
      </c>
      <c r="F15" s="29">
        <f t="shared" si="4"/>
        <v>797.22</v>
      </c>
      <c r="G15" s="29">
        <f t="shared" si="4"/>
        <v>797.22</v>
      </c>
      <c r="H15" s="29">
        <f t="shared" si="4"/>
        <v>797.22</v>
      </c>
      <c r="I15" s="29">
        <f t="shared" si="4"/>
        <v>797.22</v>
      </c>
      <c r="J15" s="29">
        <f t="shared" si="4"/>
        <v>797.22</v>
      </c>
      <c r="K15" s="29">
        <f t="shared" si="4"/>
        <v>797.22</v>
      </c>
      <c r="L15" s="29">
        <f t="shared" si="4"/>
        <v>797.22</v>
      </c>
      <c r="M15" s="29">
        <f t="shared" si="4"/>
        <v>797.22</v>
      </c>
      <c r="N15" s="33">
        <f t="shared" si="2"/>
        <v>9566.6400000000012</v>
      </c>
      <c r="O15" s="13"/>
    </row>
    <row r="16" spans="1:16" x14ac:dyDescent="0.25">
      <c r="A16" s="8" t="s">
        <v>21</v>
      </c>
      <c r="B16" s="31">
        <f t="shared" ref="B16:M16" si="5">SUM(B10:B15)</f>
        <v>64505.61</v>
      </c>
      <c r="C16" s="31">
        <f t="shared" si="5"/>
        <v>33676.29</v>
      </c>
      <c r="D16" s="31">
        <f t="shared" si="5"/>
        <v>35220.61</v>
      </c>
      <c r="E16" s="31">
        <f t="shared" si="5"/>
        <v>66799.25</v>
      </c>
      <c r="F16" s="31">
        <f t="shared" si="5"/>
        <v>58656.67</v>
      </c>
      <c r="G16" s="31">
        <f t="shared" si="5"/>
        <v>38296.29</v>
      </c>
      <c r="H16" s="31">
        <f t="shared" si="5"/>
        <v>50025.61</v>
      </c>
      <c r="I16" s="31">
        <f t="shared" si="5"/>
        <v>15225.609999999999</v>
      </c>
      <c r="J16" s="31">
        <f t="shared" si="5"/>
        <v>28888.97</v>
      </c>
      <c r="K16" s="31">
        <f t="shared" si="5"/>
        <v>14534.609999999999</v>
      </c>
      <c r="L16" s="31">
        <f t="shared" si="5"/>
        <v>17570.11</v>
      </c>
      <c r="M16" s="31">
        <f t="shared" si="5"/>
        <v>22712.29</v>
      </c>
      <c r="N16" s="43">
        <f>SUM(B16:M16)</f>
        <v>446111.91999999987</v>
      </c>
      <c r="O16" s="13"/>
    </row>
    <row r="17" spans="1:15" x14ac:dyDescent="0.25">
      <c r="A17" s="7" t="s">
        <v>22</v>
      </c>
      <c r="B17" s="29">
        <f t="shared" ref="B17:N17" si="6">SUM(B7+B16)</f>
        <v>64505.61</v>
      </c>
      <c r="C17" s="29">
        <f t="shared" si="6"/>
        <v>33676.29</v>
      </c>
      <c r="D17" s="29">
        <f t="shared" si="6"/>
        <v>35220.61</v>
      </c>
      <c r="E17" s="29">
        <f t="shared" si="6"/>
        <v>66799.25</v>
      </c>
      <c r="F17" s="29">
        <f t="shared" si="6"/>
        <v>58656.67</v>
      </c>
      <c r="G17" s="29">
        <f t="shared" si="6"/>
        <v>38296.29</v>
      </c>
      <c r="H17" s="29">
        <f t="shared" si="6"/>
        <v>50025.61</v>
      </c>
      <c r="I17" s="29">
        <f t="shared" si="6"/>
        <v>15225.609999999999</v>
      </c>
      <c r="J17" s="29">
        <f t="shared" si="6"/>
        <v>28888.97</v>
      </c>
      <c r="K17" s="29">
        <f t="shared" si="6"/>
        <v>14534.609999999999</v>
      </c>
      <c r="L17" s="29">
        <f t="shared" si="6"/>
        <v>17570.11</v>
      </c>
      <c r="M17" s="29">
        <f t="shared" si="6"/>
        <v>22712.29</v>
      </c>
      <c r="N17" s="43">
        <f t="shared" si="6"/>
        <v>446111.91999999987</v>
      </c>
      <c r="O17" s="13"/>
    </row>
    <row r="18" spans="1:15" x14ac:dyDescent="0.25">
      <c r="A18" s="7" t="s">
        <v>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3"/>
      <c r="O18" s="13"/>
    </row>
    <row r="19" spans="1:15" x14ac:dyDescent="0.25">
      <c r="A19" s="8" t="s">
        <v>72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3">
        <f t="shared" ref="N19:N20" si="7">SUM(B19:M19)</f>
        <v>0</v>
      </c>
      <c r="O19" s="13"/>
    </row>
    <row r="20" spans="1:15" x14ac:dyDescent="0.25">
      <c r="A20" s="8" t="s">
        <v>28</v>
      </c>
      <c r="B20" s="29">
        <f>SUM((11914/100*103))</f>
        <v>12271.42</v>
      </c>
      <c r="C20" s="29">
        <f t="shared" ref="C20:M20" si="8">SUM((11914/100*103))</f>
        <v>12271.42</v>
      </c>
      <c r="D20" s="29">
        <f t="shared" si="8"/>
        <v>12271.42</v>
      </c>
      <c r="E20" s="29">
        <f t="shared" si="8"/>
        <v>12271.42</v>
      </c>
      <c r="F20" s="29">
        <f t="shared" si="8"/>
        <v>12271.42</v>
      </c>
      <c r="G20" s="29">
        <f t="shared" si="8"/>
        <v>12271.42</v>
      </c>
      <c r="H20" s="29">
        <f t="shared" si="8"/>
        <v>12271.42</v>
      </c>
      <c r="I20" s="29">
        <f t="shared" si="8"/>
        <v>12271.42</v>
      </c>
      <c r="J20" s="29">
        <f t="shared" si="8"/>
        <v>12271.42</v>
      </c>
      <c r="K20" s="29">
        <f t="shared" si="8"/>
        <v>12271.42</v>
      </c>
      <c r="L20" s="29">
        <f t="shared" si="8"/>
        <v>12271.42</v>
      </c>
      <c r="M20" s="29">
        <f t="shared" si="8"/>
        <v>12271.42</v>
      </c>
      <c r="N20" s="33">
        <f t="shared" si="7"/>
        <v>147257.04</v>
      </c>
      <c r="O20" s="13"/>
    </row>
    <row r="21" spans="1:15" x14ac:dyDescent="0.25">
      <c r="A21" s="8" t="s">
        <v>152</v>
      </c>
      <c r="B21" s="29">
        <f>SUM((3807/100*103))</f>
        <v>3921.21</v>
      </c>
      <c r="C21" s="29">
        <f t="shared" ref="C21:M21" si="9">SUM((3807/100*103))</f>
        <v>3921.21</v>
      </c>
      <c r="D21" s="29">
        <f t="shared" si="9"/>
        <v>3921.21</v>
      </c>
      <c r="E21" s="29">
        <f t="shared" si="9"/>
        <v>3921.21</v>
      </c>
      <c r="F21" s="29">
        <f t="shared" si="9"/>
        <v>3921.21</v>
      </c>
      <c r="G21" s="29">
        <f t="shared" si="9"/>
        <v>3921.21</v>
      </c>
      <c r="H21" s="29">
        <f t="shared" si="9"/>
        <v>3921.21</v>
      </c>
      <c r="I21" s="29">
        <f t="shared" si="9"/>
        <v>3921.21</v>
      </c>
      <c r="J21" s="29">
        <f t="shared" si="9"/>
        <v>3921.21</v>
      </c>
      <c r="K21" s="29">
        <f t="shared" si="9"/>
        <v>3921.21</v>
      </c>
      <c r="L21" s="29">
        <f t="shared" si="9"/>
        <v>3921.21</v>
      </c>
      <c r="M21" s="29">
        <f t="shared" si="9"/>
        <v>3921.21</v>
      </c>
      <c r="N21" s="33">
        <f>SUM(B21:M21)</f>
        <v>47054.52</v>
      </c>
      <c r="O21" s="13"/>
    </row>
    <row r="22" spans="1:15" x14ac:dyDescent="0.25">
      <c r="A22" s="15" t="s">
        <v>99</v>
      </c>
      <c r="B22" s="29">
        <f>Theatre!B85</f>
        <v>6963.15</v>
      </c>
      <c r="C22" s="29">
        <f>Theatre!C85</f>
        <v>0</v>
      </c>
      <c r="D22" s="29">
        <f>Theatre!D85</f>
        <v>0</v>
      </c>
      <c r="E22" s="29">
        <f>Theatre!E85</f>
        <v>6963.15</v>
      </c>
      <c r="F22" s="29">
        <f>Theatre!F85</f>
        <v>0</v>
      </c>
      <c r="G22" s="29">
        <f>Theatre!G85</f>
        <v>0</v>
      </c>
      <c r="H22" s="29">
        <f>Theatre!H85</f>
        <v>6963.15</v>
      </c>
      <c r="I22" s="29">
        <f>Theatre!I85</f>
        <v>0</v>
      </c>
      <c r="J22" s="29">
        <f>Theatre!J85</f>
        <v>0</v>
      </c>
      <c r="K22" s="29">
        <f>Theatre!K85</f>
        <v>0</v>
      </c>
      <c r="L22" s="29">
        <f>Theatre!L85</f>
        <v>2121.8000000000002</v>
      </c>
      <c r="M22" s="29">
        <f>Theatre!M85</f>
        <v>3250</v>
      </c>
      <c r="N22" s="33">
        <f>SUM(B22:M22)</f>
        <v>26261.249999999996</v>
      </c>
      <c r="O22" s="13"/>
    </row>
    <row r="23" spans="1:15" x14ac:dyDescent="0.25">
      <c r="A23" s="15" t="s">
        <v>102</v>
      </c>
      <c r="B23" s="29">
        <f>Bunkhouse!B116</f>
        <v>5310.0300000000007</v>
      </c>
      <c r="C23" s="29">
        <f>Bunkhouse!C116</f>
        <v>4092.0299999999997</v>
      </c>
      <c r="D23" s="29">
        <f>Bunkhouse!D116</f>
        <v>4554.03</v>
      </c>
      <c r="E23" s="29">
        <f>Bunkhouse!E116</f>
        <v>5914.83</v>
      </c>
      <c r="F23" s="29">
        <f>Bunkhouse!F116</f>
        <v>5914.83</v>
      </c>
      <c r="G23" s="29">
        <f>Bunkhouse!G116</f>
        <v>4554.03</v>
      </c>
      <c r="H23" s="29">
        <f>Bunkhouse!H116</f>
        <v>4092.0299999999997</v>
      </c>
      <c r="I23" s="29">
        <f>Bunkhouse!I116</f>
        <v>3042.03</v>
      </c>
      <c r="J23" s="29">
        <f>Bunkhouse!J116</f>
        <v>3495.63</v>
      </c>
      <c r="K23" s="29">
        <f>Bunkhouse!K116</f>
        <v>3050.43</v>
      </c>
      <c r="L23" s="29">
        <f>Bunkhouse!L116</f>
        <v>3025.23</v>
      </c>
      <c r="M23" s="29">
        <f>Bunkhouse!M116</f>
        <v>5180.6299999999992</v>
      </c>
      <c r="N23" s="33">
        <f t="shared" ref="N23:N27" si="10">SUM(B23:M23)</f>
        <v>52225.759999999995</v>
      </c>
      <c r="O23" s="13"/>
    </row>
    <row r="24" spans="1:15" x14ac:dyDescent="0.25">
      <c r="A24" s="15" t="s">
        <v>20</v>
      </c>
      <c r="B24" s="29">
        <f>Cafe!B180</f>
        <v>11525.740000000002</v>
      </c>
      <c r="C24" s="29">
        <f>Cafe!C180</f>
        <v>10347.51</v>
      </c>
      <c r="D24" s="29">
        <f>Cafe!D180</f>
        <v>9276.27</v>
      </c>
      <c r="E24" s="29">
        <f>Cafe!E180</f>
        <v>10468.92</v>
      </c>
      <c r="F24" s="29">
        <f>Cafe!F180</f>
        <v>13496.27</v>
      </c>
      <c r="G24" s="29">
        <f>Cafe!G180</f>
        <v>10513.34</v>
      </c>
      <c r="H24" s="29">
        <f>Cafe!H180</f>
        <v>10317.51</v>
      </c>
      <c r="I24" s="29">
        <f>Cafe!I180</f>
        <v>7381.89</v>
      </c>
      <c r="J24" s="29">
        <f>Cafe!J180</f>
        <v>11282.310000000001</v>
      </c>
      <c r="K24" s="29">
        <f>Cafe!K180</f>
        <v>7434.46</v>
      </c>
      <c r="L24" s="29">
        <f>Cafe!L180</f>
        <v>7171.4800000000005</v>
      </c>
      <c r="M24" s="29">
        <f>Cafe!M180</f>
        <v>12263.95</v>
      </c>
      <c r="N24" s="33">
        <f t="shared" si="10"/>
        <v>121479.65</v>
      </c>
      <c r="O24" s="13"/>
    </row>
    <row r="25" spans="1:15" x14ac:dyDescent="0.25">
      <c r="A25" s="8" t="s">
        <v>153</v>
      </c>
      <c r="B25" s="29">
        <v>1000</v>
      </c>
      <c r="C25" s="29">
        <v>1000</v>
      </c>
      <c r="D25" s="29">
        <v>1000</v>
      </c>
      <c r="E25" s="29">
        <v>1000</v>
      </c>
      <c r="F25" s="29">
        <v>1000</v>
      </c>
      <c r="G25" s="29">
        <v>1000</v>
      </c>
      <c r="H25" s="29">
        <v>1000</v>
      </c>
      <c r="I25" s="29">
        <v>1000</v>
      </c>
      <c r="J25" s="29">
        <v>1000</v>
      </c>
      <c r="K25" s="29">
        <v>1000</v>
      </c>
      <c r="L25" s="29">
        <v>1000</v>
      </c>
      <c r="M25" s="29">
        <v>1000</v>
      </c>
      <c r="N25" s="33">
        <f t="shared" si="10"/>
        <v>12000</v>
      </c>
      <c r="O25" s="13"/>
    </row>
    <row r="26" spans="1:15" x14ac:dyDescent="0.25">
      <c r="A26" s="8" t="s">
        <v>176</v>
      </c>
      <c r="B26" s="29">
        <v>0</v>
      </c>
      <c r="C26" s="29">
        <v>1000</v>
      </c>
      <c r="D26" s="29">
        <v>1500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1000</v>
      </c>
      <c r="M26" s="29">
        <v>1500</v>
      </c>
      <c r="N26" s="33">
        <f t="shared" si="10"/>
        <v>5000</v>
      </c>
      <c r="O26" s="13"/>
    </row>
    <row r="27" spans="1:15" x14ac:dyDescent="0.25">
      <c r="A27" s="8" t="s">
        <v>21</v>
      </c>
      <c r="B27" s="29">
        <f>SUM(B20:B26)</f>
        <v>40991.550000000003</v>
      </c>
      <c r="C27" s="29">
        <f t="shared" ref="C27:M27" si="11">SUM(C20:C26)</f>
        <v>32632.17</v>
      </c>
      <c r="D27" s="29">
        <f t="shared" si="11"/>
        <v>32522.93</v>
      </c>
      <c r="E27" s="29">
        <f t="shared" si="11"/>
        <v>40539.53</v>
      </c>
      <c r="F27" s="29">
        <f t="shared" si="11"/>
        <v>36603.729999999996</v>
      </c>
      <c r="G27" s="29">
        <f t="shared" si="11"/>
        <v>32260</v>
      </c>
      <c r="H27" s="29">
        <f t="shared" si="11"/>
        <v>38565.32</v>
      </c>
      <c r="I27" s="29">
        <f t="shared" si="11"/>
        <v>27616.55</v>
      </c>
      <c r="J27" s="29">
        <f t="shared" si="11"/>
        <v>31970.570000000003</v>
      </c>
      <c r="K27" s="29">
        <f t="shared" si="11"/>
        <v>27677.52</v>
      </c>
      <c r="L27" s="29">
        <f t="shared" si="11"/>
        <v>30511.14</v>
      </c>
      <c r="M27" s="29">
        <f t="shared" si="11"/>
        <v>39387.210000000006</v>
      </c>
      <c r="N27" s="43">
        <f t="shared" si="10"/>
        <v>411278.22000000003</v>
      </c>
      <c r="O27" s="13"/>
    </row>
    <row r="28" spans="1:15" x14ac:dyDescent="0.25">
      <c r="A28" s="7" t="s">
        <v>24</v>
      </c>
      <c r="B28" s="29">
        <f t="shared" ref="B28:M28" si="12">SUM(B19+B27)</f>
        <v>40991.550000000003</v>
      </c>
      <c r="C28" s="29">
        <f t="shared" si="12"/>
        <v>32632.17</v>
      </c>
      <c r="D28" s="29">
        <f t="shared" si="12"/>
        <v>32522.93</v>
      </c>
      <c r="E28" s="29">
        <f t="shared" si="12"/>
        <v>40539.53</v>
      </c>
      <c r="F28" s="29">
        <f t="shared" si="12"/>
        <v>36603.729999999996</v>
      </c>
      <c r="G28" s="29">
        <f t="shared" si="12"/>
        <v>32260</v>
      </c>
      <c r="H28" s="29">
        <f t="shared" si="12"/>
        <v>38565.32</v>
      </c>
      <c r="I28" s="29">
        <f t="shared" si="12"/>
        <v>27616.55</v>
      </c>
      <c r="J28" s="29">
        <f t="shared" si="12"/>
        <v>31970.570000000003</v>
      </c>
      <c r="K28" s="29">
        <f t="shared" si="12"/>
        <v>27677.52</v>
      </c>
      <c r="L28" s="29">
        <f t="shared" si="12"/>
        <v>30511.14</v>
      </c>
      <c r="M28" s="29">
        <f t="shared" si="12"/>
        <v>39387.210000000006</v>
      </c>
      <c r="N28" s="43">
        <f>SUM(B28:M28)</f>
        <v>411278.22000000003</v>
      </c>
      <c r="O28" s="13"/>
    </row>
    <row r="29" spans="1:15" x14ac:dyDescent="0.25">
      <c r="A29" s="7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4"/>
      <c r="O29" s="13"/>
    </row>
    <row r="30" spans="1:15" x14ac:dyDescent="0.25">
      <c r="A30" s="7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5"/>
      <c r="O30" s="13"/>
    </row>
    <row r="31" spans="1:15" x14ac:dyDescent="0.25">
      <c r="A31" s="7" t="s">
        <v>25</v>
      </c>
      <c r="B31" s="29">
        <f>'YE 2026'!$M$33</f>
        <v>166704.93600300007</v>
      </c>
      <c r="C31" s="29">
        <f t="shared" ref="C31:M31" si="13">SUM(B33)</f>
        <v>190218.99600300007</v>
      </c>
      <c r="D31" s="29">
        <f t="shared" si="13"/>
        <v>191263.11600300006</v>
      </c>
      <c r="E31" s="29">
        <f t="shared" si="13"/>
        <v>193960.79600300005</v>
      </c>
      <c r="F31" s="29">
        <f t="shared" si="13"/>
        <v>220220.51600300006</v>
      </c>
      <c r="G31" s="29">
        <f t="shared" si="13"/>
        <v>242273.45600300006</v>
      </c>
      <c r="H31" s="29">
        <f t="shared" si="13"/>
        <v>248309.74600300007</v>
      </c>
      <c r="I31" s="29">
        <f t="shared" si="13"/>
        <v>259770.03600300007</v>
      </c>
      <c r="J31" s="29">
        <f t="shared" si="13"/>
        <v>247379.09600300007</v>
      </c>
      <c r="K31" s="29">
        <f t="shared" si="13"/>
        <v>244297.49600300007</v>
      </c>
      <c r="L31" s="29">
        <f t="shared" si="13"/>
        <v>231154.58600300006</v>
      </c>
      <c r="M31" s="29">
        <f t="shared" si="13"/>
        <v>218213.55600300006</v>
      </c>
      <c r="N31" s="33"/>
      <c r="O31" s="13"/>
    </row>
    <row r="32" spans="1:15" x14ac:dyDescent="0.25">
      <c r="A32" s="7" t="s">
        <v>26</v>
      </c>
      <c r="B32" s="29">
        <f t="shared" ref="B32:M32" si="14">SUM(B17-B28)</f>
        <v>23514.059999999998</v>
      </c>
      <c r="C32" s="29">
        <f t="shared" si="14"/>
        <v>1044.1200000000026</v>
      </c>
      <c r="D32" s="29">
        <f t="shared" si="14"/>
        <v>2697.6800000000003</v>
      </c>
      <c r="E32" s="29">
        <f t="shared" si="14"/>
        <v>26259.72</v>
      </c>
      <c r="F32" s="29">
        <f t="shared" si="14"/>
        <v>22052.940000000002</v>
      </c>
      <c r="G32" s="29">
        <f t="shared" si="14"/>
        <v>6036.2900000000009</v>
      </c>
      <c r="H32" s="29">
        <f t="shared" si="14"/>
        <v>11460.29</v>
      </c>
      <c r="I32" s="29">
        <f t="shared" si="14"/>
        <v>-12390.94</v>
      </c>
      <c r="J32" s="29">
        <f t="shared" si="14"/>
        <v>-3081.6000000000022</v>
      </c>
      <c r="K32" s="29">
        <f t="shared" si="14"/>
        <v>-13142.910000000002</v>
      </c>
      <c r="L32" s="29">
        <f t="shared" si="14"/>
        <v>-12941.029999999999</v>
      </c>
      <c r="M32" s="29">
        <f t="shared" si="14"/>
        <v>-16674.920000000006</v>
      </c>
      <c r="N32" s="34"/>
      <c r="O32" s="13"/>
    </row>
    <row r="33" spans="1:15" x14ac:dyDescent="0.25">
      <c r="A33" s="7" t="s">
        <v>27</v>
      </c>
      <c r="B33" s="29">
        <f>SUM(B31+B32)</f>
        <v>190218.99600300007</v>
      </c>
      <c r="C33" s="29">
        <f t="shared" ref="C33:M33" si="15">SUM(C31+C32)</f>
        <v>191263.11600300006</v>
      </c>
      <c r="D33" s="29">
        <f t="shared" si="15"/>
        <v>193960.79600300005</v>
      </c>
      <c r="E33" s="29">
        <f t="shared" si="15"/>
        <v>220220.51600300006</v>
      </c>
      <c r="F33" s="29">
        <f t="shared" si="15"/>
        <v>242273.45600300006</v>
      </c>
      <c r="G33" s="29">
        <f t="shared" si="15"/>
        <v>248309.74600300007</v>
      </c>
      <c r="H33" s="29">
        <f t="shared" si="15"/>
        <v>259770.03600300007</v>
      </c>
      <c r="I33" s="29">
        <f t="shared" si="15"/>
        <v>247379.09600300007</v>
      </c>
      <c r="J33" s="29">
        <f t="shared" si="15"/>
        <v>244297.49600300007</v>
      </c>
      <c r="K33" s="29">
        <f t="shared" si="15"/>
        <v>231154.58600300006</v>
      </c>
      <c r="L33" s="29">
        <f t="shared" si="15"/>
        <v>218213.55600300006</v>
      </c>
      <c r="M33" s="29">
        <f t="shared" si="15"/>
        <v>201538.63600300005</v>
      </c>
      <c r="N33" s="34"/>
      <c r="O33" s="13"/>
    </row>
    <row r="34" spans="1:15" x14ac:dyDescent="0.25">
      <c r="A34" s="1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12"/>
      <c r="O34" s="10"/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topLeftCell="A14" workbookViewId="0">
      <selection activeCell="I23" sqref="I23"/>
    </sheetView>
  </sheetViews>
  <sheetFormatPr defaultColWidth="9.28515625" defaultRowHeight="15" x14ac:dyDescent="0.25"/>
  <cols>
    <col min="1" max="1" width="27" style="5" customWidth="1"/>
    <col min="2" max="3" width="10.28515625" style="5" bestFit="1" customWidth="1"/>
    <col min="4" max="14" width="9.28515625" style="5"/>
    <col min="15" max="15" width="3.5703125" style="5" customWidth="1"/>
    <col min="16" max="16" width="15.28515625" style="5" customWidth="1"/>
    <col min="17" max="16384" width="9.28515625" style="5"/>
  </cols>
  <sheetData>
    <row r="1" spans="1:16" x14ac:dyDescent="0.25">
      <c r="A1" s="7" t="s">
        <v>201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x14ac:dyDescent="0.25">
      <c r="A2" s="7"/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3</v>
      </c>
      <c r="O2" s="8"/>
    </row>
    <row r="3" spans="1:16" x14ac:dyDescent="0.25">
      <c r="A3" s="9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3"/>
      <c r="O3" s="13"/>
    </row>
    <row r="4" spans="1:16" x14ac:dyDescent="0.25">
      <c r="A4" s="7" t="s">
        <v>17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3"/>
      <c r="O4" s="13"/>
    </row>
    <row r="5" spans="1:16" ht="15.75" thickBot="1" x14ac:dyDescent="0.3">
      <c r="A5" s="8" t="s">
        <v>71</v>
      </c>
      <c r="B5" s="32">
        <v>0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3">
        <f t="shared" ref="N5:N6" si="0">SUM(B5:M5)</f>
        <v>0</v>
      </c>
      <c r="O5" s="8"/>
    </row>
    <row r="6" spans="1:16" x14ac:dyDescent="0.25">
      <c r="A6" s="28" t="s">
        <v>73</v>
      </c>
      <c r="B6" s="29">
        <v>0</v>
      </c>
      <c r="C6" s="29">
        <v>0</v>
      </c>
      <c r="D6" s="29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3">
        <f t="shared" si="0"/>
        <v>0</v>
      </c>
      <c r="O6" s="8"/>
    </row>
    <row r="7" spans="1:16" x14ac:dyDescent="0.25">
      <c r="A7" s="7" t="s">
        <v>18</v>
      </c>
      <c r="B7" s="29">
        <f t="shared" ref="B7:N7" si="1">SUM(B5:B6)</f>
        <v>0</v>
      </c>
      <c r="C7" s="29">
        <f t="shared" si="1"/>
        <v>0</v>
      </c>
      <c r="D7" s="29">
        <f t="shared" si="1"/>
        <v>0</v>
      </c>
      <c r="E7" s="29">
        <f t="shared" si="1"/>
        <v>0</v>
      </c>
      <c r="F7" s="29">
        <f t="shared" si="1"/>
        <v>0</v>
      </c>
      <c r="G7" s="29">
        <f t="shared" si="1"/>
        <v>0</v>
      </c>
      <c r="H7" s="29">
        <f t="shared" si="1"/>
        <v>0</v>
      </c>
      <c r="I7" s="29">
        <f t="shared" si="1"/>
        <v>0</v>
      </c>
      <c r="J7" s="29">
        <f t="shared" si="1"/>
        <v>0</v>
      </c>
      <c r="K7" s="29">
        <f t="shared" si="1"/>
        <v>0</v>
      </c>
      <c r="L7" s="29">
        <f t="shared" si="1"/>
        <v>0</v>
      </c>
      <c r="M7" s="29">
        <f t="shared" si="1"/>
        <v>0</v>
      </c>
      <c r="N7" s="33">
        <f t="shared" si="1"/>
        <v>0</v>
      </c>
      <c r="O7" s="8"/>
      <c r="P7" s="6"/>
    </row>
    <row r="8" spans="1:16" x14ac:dyDescent="0.25">
      <c r="A8" s="7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3"/>
      <c r="O8" s="8"/>
      <c r="P8" s="6"/>
    </row>
    <row r="9" spans="1:16" x14ac:dyDescent="0.25">
      <c r="A9" s="7" t="s">
        <v>19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3"/>
      <c r="O9" s="8"/>
    </row>
    <row r="10" spans="1:16" x14ac:dyDescent="0.25">
      <c r="A10" s="8" t="s">
        <v>20</v>
      </c>
      <c r="B10" s="29">
        <f>Cafe!B196</f>
        <v>15662.5</v>
      </c>
      <c r="C10" s="29">
        <f>Cafe!C196</f>
        <v>13325</v>
      </c>
      <c r="D10" s="29">
        <f>Cafe!D196</f>
        <v>10925</v>
      </c>
      <c r="E10" s="29">
        <f>Cafe!E196</f>
        <v>13262.5</v>
      </c>
      <c r="F10" s="29">
        <f>Cafe!F196</f>
        <v>21750</v>
      </c>
      <c r="G10" s="29">
        <f>Cafe!G196</f>
        <v>13325</v>
      </c>
      <c r="H10" s="29">
        <f>Cafe!H196</f>
        <v>13262.5</v>
      </c>
      <c r="I10" s="29">
        <f>Cafe!I196</f>
        <v>5862.5</v>
      </c>
      <c r="J10" s="29">
        <f>Cafe!J196</f>
        <v>15262.5</v>
      </c>
      <c r="K10" s="29">
        <f>Cafe!K196</f>
        <v>5650</v>
      </c>
      <c r="L10" s="29">
        <f>Cafe!L196</f>
        <v>5143.75</v>
      </c>
      <c r="M10" s="29">
        <f>Cafe!M196</f>
        <v>11300</v>
      </c>
      <c r="N10" s="33">
        <f>SUM(B10:M10)</f>
        <v>144731.25</v>
      </c>
      <c r="O10" s="8"/>
    </row>
    <row r="11" spans="1:16" x14ac:dyDescent="0.25">
      <c r="A11" s="15" t="s">
        <v>99</v>
      </c>
      <c r="B11" s="29">
        <f>Theatre!B94</f>
        <v>18658.3</v>
      </c>
      <c r="C11" s="29">
        <f>Theatre!C94</f>
        <v>2354.58</v>
      </c>
      <c r="D11" s="29">
        <f>Theatre!D94</f>
        <v>1658.3000000000002</v>
      </c>
      <c r="E11" s="29">
        <f>Theatre!E94</f>
        <v>17160.68</v>
      </c>
      <c r="F11" s="29">
        <f>Theatre!F94</f>
        <v>811.64</v>
      </c>
      <c r="G11" s="29">
        <f>Theatre!G94</f>
        <v>2354.58</v>
      </c>
      <c r="H11" s="29">
        <f>Theatre!H94</f>
        <v>18658.3</v>
      </c>
      <c r="I11" s="29">
        <f>Theatre!I94</f>
        <v>1658.3000000000002</v>
      </c>
      <c r="J11" s="29">
        <f>Theatre!J94</f>
        <v>2202.1400000000003</v>
      </c>
      <c r="K11" s="29">
        <f>Theatre!K94</f>
        <v>1658.3000000000002</v>
      </c>
      <c r="L11" s="29">
        <f>Theatre!L94</f>
        <v>5033.3</v>
      </c>
      <c r="M11" s="29">
        <f>Theatre!M94</f>
        <v>2354.58</v>
      </c>
      <c r="N11" s="33">
        <f>SUM(B11:M11)</f>
        <v>74563.000000000015</v>
      </c>
      <c r="O11" s="8"/>
    </row>
    <row r="12" spans="1:16" x14ac:dyDescent="0.25">
      <c r="A12" s="15" t="s">
        <v>100</v>
      </c>
      <c r="B12" s="29">
        <f>'Soft Play'!B56</f>
        <v>3130</v>
      </c>
      <c r="C12" s="29">
        <f>'Soft Play'!C56</f>
        <v>3130</v>
      </c>
      <c r="D12" s="29">
        <f>'Soft Play'!D56</f>
        <v>3130</v>
      </c>
      <c r="E12" s="29">
        <f>'Soft Play'!E56</f>
        <v>3230</v>
      </c>
      <c r="F12" s="29">
        <f>'Soft Play'!F56</f>
        <v>3230</v>
      </c>
      <c r="G12" s="29">
        <f>'Soft Play'!G56</f>
        <v>3130</v>
      </c>
      <c r="H12" s="29">
        <f>'Soft Play'!H56</f>
        <v>3230</v>
      </c>
      <c r="I12" s="29">
        <f>'Soft Play'!I56</f>
        <v>3130</v>
      </c>
      <c r="J12" s="29">
        <f>'Soft Play'!J56</f>
        <v>2530</v>
      </c>
      <c r="K12" s="29">
        <f>'Soft Play'!K56</f>
        <v>2530</v>
      </c>
      <c r="L12" s="29">
        <f>'Soft Play'!L56</f>
        <v>2930</v>
      </c>
      <c r="M12" s="29">
        <f>'Soft Play'!M56</f>
        <v>3230</v>
      </c>
      <c r="N12" s="33">
        <f t="shared" ref="N12:N15" si="2">SUM(B12:M12)</f>
        <v>36560</v>
      </c>
      <c r="O12" s="8"/>
    </row>
    <row r="13" spans="1:16" x14ac:dyDescent="0.25">
      <c r="A13" s="15" t="s">
        <v>102</v>
      </c>
      <c r="B13" s="29">
        <f>Bunkhouse!B122</f>
        <v>25800</v>
      </c>
      <c r="C13" s="29">
        <f>Bunkhouse!C122</f>
        <v>13330</v>
      </c>
      <c r="D13" s="29">
        <f>Bunkhouse!D122</f>
        <v>18060</v>
      </c>
      <c r="E13" s="29">
        <f>Bunkhouse!E122</f>
        <v>31992</v>
      </c>
      <c r="F13" s="29">
        <f>Bunkhouse!F122</f>
        <v>31992</v>
      </c>
      <c r="G13" s="29">
        <f>Bunkhouse!G122</f>
        <v>18060</v>
      </c>
      <c r="H13" s="29">
        <f>Bunkhouse!H122</f>
        <v>13330</v>
      </c>
      <c r="I13" s="29">
        <f>Bunkhouse!I122</f>
        <v>2580</v>
      </c>
      <c r="J13" s="29">
        <f>Bunkhouse!J122</f>
        <v>7224</v>
      </c>
      <c r="K13" s="29">
        <f>Bunkhouse!K122</f>
        <v>2666</v>
      </c>
      <c r="L13" s="29">
        <f>Bunkhouse!L122</f>
        <v>2408</v>
      </c>
      <c r="M13" s="29">
        <f>Bunkhouse!M122</f>
        <v>3999</v>
      </c>
      <c r="N13" s="33">
        <f t="shared" si="2"/>
        <v>171441</v>
      </c>
      <c r="O13" s="8"/>
    </row>
    <row r="14" spans="1:16" x14ac:dyDescent="0.25">
      <c r="A14" s="15" t="s">
        <v>174</v>
      </c>
      <c r="B14" s="29">
        <f>SUM(1494)/100*103</f>
        <v>1538.82</v>
      </c>
      <c r="C14" s="29">
        <f t="shared" ref="C14:M14" si="3">SUM(1494)/100*103</f>
        <v>1538.82</v>
      </c>
      <c r="D14" s="29">
        <f t="shared" si="3"/>
        <v>1538.82</v>
      </c>
      <c r="E14" s="29">
        <f t="shared" si="3"/>
        <v>1538.82</v>
      </c>
      <c r="F14" s="29">
        <f t="shared" si="3"/>
        <v>1538.82</v>
      </c>
      <c r="G14" s="29">
        <f t="shared" si="3"/>
        <v>1538.82</v>
      </c>
      <c r="H14" s="29">
        <f t="shared" si="3"/>
        <v>1538.82</v>
      </c>
      <c r="I14" s="29">
        <f t="shared" si="3"/>
        <v>1538.82</v>
      </c>
      <c r="J14" s="29">
        <f t="shared" si="3"/>
        <v>1538.82</v>
      </c>
      <c r="K14" s="29">
        <f t="shared" si="3"/>
        <v>1538.82</v>
      </c>
      <c r="L14" s="29">
        <f t="shared" si="3"/>
        <v>1538.82</v>
      </c>
      <c r="M14" s="29">
        <f t="shared" si="3"/>
        <v>1538.82</v>
      </c>
      <c r="N14" s="33">
        <f t="shared" si="2"/>
        <v>18465.84</v>
      </c>
      <c r="O14" s="8"/>
    </row>
    <row r="15" spans="1:16" x14ac:dyDescent="0.25">
      <c r="A15" s="8" t="s">
        <v>189</v>
      </c>
      <c r="B15" s="29">
        <f>SUM(797/100*103)</f>
        <v>820.91</v>
      </c>
      <c r="C15" s="29">
        <f t="shared" ref="C15:M15" si="4">SUM(797/100*103)</f>
        <v>820.91</v>
      </c>
      <c r="D15" s="29">
        <f t="shared" si="4"/>
        <v>820.91</v>
      </c>
      <c r="E15" s="29">
        <f t="shared" si="4"/>
        <v>820.91</v>
      </c>
      <c r="F15" s="29">
        <f t="shared" si="4"/>
        <v>820.91</v>
      </c>
      <c r="G15" s="29">
        <f t="shared" si="4"/>
        <v>820.91</v>
      </c>
      <c r="H15" s="29">
        <f t="shared" si="4"/>
        <v>820.91</v>
      </c>
      <c r="I15" s="29">
        <f t="shared" si="4"/>
        <v>820.91</v>
      </c>
      <c r="J15" s="29">
        <f t="shared" si="4"/>
        <v>820.91</v>
      </c>
      <c r="K15" s="29">
        <f t="shared" si="4"/>
        <v>820.91</v>
      </c>
      <c r="L15" s="29">
        <f t="shared" si="4"/>
        <v>820.91</v>
      </c>
      <c r="M15" s="29">
        <f t="shared" si="4"/>
        <v>820.91</v>
      </c>
      <c r="N15" s="33">
        <f t="shared" si="2"/>
        <v>9850.92</v>
      </c>
      <c r="O15" s="13"/>
    </row>
    <row r="16" spans="1:16" x14ac:dyDescent="0.25">
      <c r="A16" s="8" t="s">
        <v>21</v>
      </c>
      <c r="B16" s="31">
        <f t="shared" ref="B16:M16" si="5">SUM(B10:B15)</f>
        <v>65610.53</v>
      </c>
      <c r="C16" s="31">
        <f t="shared" si="5"/>
        <v>34499.310000000005</v>
      </c>
      <c r="D16" s="31">
        <f t="shared" si="5"/>
        <v>36133.030000000006</v>
      </c>
      <c r="E16" s="31">
        <f t="shared" si="5"/>
        <v>68004.91</v>
      </c>
      <c r="F16" s="31">
        <f t="shared" si="5"/>
        <v>60143.37</v>
      </c>
      <c r="G16" s="31">
        <f t="shared" si="5"/>
        <v>39229.310000000005</v>
      </c>
      <c r="H16" s="31">
        <f t="shared" si="5"/>
        <v>50840.530000000006</v>
      </c>
      <c r="I16" s="31">
        <f t="shared" si="5"/>
        <v>15590.529999999999</v>
      </c>
      <c r="J16" s="31">
        <f t="shared" si="5"/>
        <v>29578.37</v>
      </c>
      <c r="K16" s="31">
        <f t="shared" si="5"/>
        <v>14864.029999999999</v>
      </c>
      <c r="L16" s="31">
        <f t="shared" si="5"/>
        <v>17874.78</v>
      </c>
      <c r="M16" s="31">
        <f t="shared" si="5"/>
        <v>23243.31</v>
      </c>
      <c r="N16" s="43">
        <f>SUM(B16:M16)</f>
        <v>455612.01000000007</v>
      </c>
      <c r="O16" s="13"/>
    </row>
    <row r="17" spans="1:15" x14ac:dyDescent="0.25">
      <c r="A17" s="7" t="s">
        <v>22</v>
      </c>
      <c r="B17" s="29">
        <f t="shared" ref="B17:N17" si="6">SUM(B7+B16)</f>
        <v>65610.53</v>
      </c>
      <c r="C17" s="29">
        <f t="shared" si="6"/>
        <v>34499.310000000005</v>
      </c>
      <c r="D17" s="29">
        <f t="shared" si="6"/>
        <v>36133.030000000006</v>
      </c>
      <c r="E17" s="29">
        <f t="shared" si="6"/>
        <v>68004.91</v>
      </c>
      <c r="F17" s="29">
        <f t="shared" si="6"/>
        <v>60143.37</v>
      </c>
      <c r="G17" s="29">
        <f t="shared" si="6"/>
        <v>39229.310000000005</v>
      </c>
      <c r="H17" s="29">
        <f t="shared" si="6"/>
        <v>50840.530000000006</v>
      </c>
      <c r="I17" s="29">
        <f t="shared" si="6"/>
        <v>15590.529999999999</v>
      </c>
      <c r="J17" s="29">
        <f t="shared" si="6"/>
        <v>29578.37</v>
      </c>
      <c r="K17" s="29">
        <f t="shared" si="6"/>
        <v>14864.029999999999</v>
      </c>
      <c r="L17" s="29">
        <f t="shared" si="6"/>
        <v>17874.78</v>
      </c>
      <c r="M17" s="29">
        <f t="shared" si="6"/>
        <v>23243.31</v>
      </c>
      <c r="N17" s="43">
        <f t="shared" si="6"/>
        <v>455612.01000000007</v>
      </c>
      <c r="O17" s="13"/>
    </row>
    <row r="18" spans="1:15" x14ac:dyDescent="0.25">
      <c r="A18" s="7" t="s">
        <v>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3"/>
      <c r="O18" s="13"/>
    </row>
    <row r="19" spans="1:15" x14ac:dyDescent="0.25">
      <c r="A19" s="8" t="s">
        <v>72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3">
        <f t="shared" ref="N19:N20" si="7">SUM(B19:M19)</f>
        <v>0</v>
      </c>
      <c r="O19" s="13"/>
    </row>
    <row r="20" spans="1:15" x14ac:dyDescent="0.25">
      <c r="A20" s="8" t="s">
        <v>28</v>
      </c>
      <c r="B20" s="29">
        <f>SUM((12271/100*103))</f>
        <v>12639.13</v>
      </c>
      <c r="C20" s="29">
        <f t="shared" ref="C20:M20" si="8">SUM((12271/100*103))</f>
        <v>12639.13</v>
      </c>
      <c r="D20" s="29">
        <f t="shared" si="8"/>
        <v>12639.13</v>
      </c>
      <c r="E20" s="29">
        <f t="shared" si="8"/>
        <v>12639.13</v>
      </c>
      <c r="F20" s="29">
        <f t="shared" si="8"/>
        <v>12639.13</v>
      </c>
      <c r="G20" s="29">
        <f t="shared" si="8"/>
        <v>12639.13</v>
      </c>
      <c r="H20" s="29">
        <f t="shared" si="8"/>
        <v>12639.13</v>
      </c>
      <c r="I20" s="29">
        <f t="shared" si="8"/>
        <v>12639.13</v>
      </c>
      <c r="J20" s="29">
        <f t="shared" si="8"/>
        <v>12639.13</v>
      </c>
      <c r="K20" s="29">
        <f t="shared" si="8"/>
        <v>12639.13</v>
      </c>
      <c r="L20" s="29">
        <f t="shared" si="8"/>
        <v>12639.13</v>
      </c>
      <c r="M20" s="29">
        <f t="shared" si="8"/>
        <v>12639.13</v>
      </c>
      <c r="N20" s="33">
        <f t="shared" si="7"/>
        <v>151669.56000000003</v>
      </c>
      <c r="O20" s="13"/>
    </row>
    <row r="21" spans="1:15" x14ac:dyDescent="0.25">
      <c r="A21" s="8" t="s">
        <v>152</v>
      </c>
      <c r="B21" s="29">
        <f>SUM((3921/100*103))</f>
        <v>4038.63</v>
      </c>
      <c r="C21" s="29">
        <f t="shared" ref="C21:M21" si="9">SUM((3921/100*103))</f>
        <v>4038.63</v>
      </c>
      <c r="D21" s="29">
        <f t="shared" si="9"/>
        <v>4038.63</v>
      </c>
      <c r="E21" s="29">
        <f t="shared" si="9"/>
        <v>4038.63</v>
      </c>
      <c r="F21" s="29">
        <f t="shared" si="9"/>
        <v>4038.63</v>
      </c>
      <c r="G21" s="29">
        <f t="shared" si="9"/>
        <v>4038.63</v>
      </c>
      <c r="H21" s="29">
        <f t="shared" si="9"/>
        <v>4038.63</v>
      </c>
      <c r="I21" s="29">
        <f t="shared" si="9"/>
        <v>4038.63</v>
      </c>
      <c r="J21" s="29">
        <f t="shared" si="9"/>
        <v>4038.63</v>
      </c>
      <c r="K21" s="29">
        <f t="shared" si="9"/>
        <v>4038.63</v>
      </c>
      <c r="L21" s="29">
        <f t="shared" si="9"/>
        <v>4038.63</v>
      </c>
      <c r="M21" s="29">
        <f t="shared" si="9"/>
        <v>4038.63</v>
      </c>
      <c r="N21" s="33">
        <f>SUM(B21:M21)</f>
        <v>48463.56</v>
      </c>
      <c r="O21" s="13"/>
    </row>
    <row r="22" spans="1:15" x14ac:dyDescent="0.25">
      <c r="A22" s="15" t="s">
        <v>99</v>
      </c>
      <c r="B22" s="29">
        <f>Theatre!B99</f>
        <v>7074.39</v>
      </c>
      <c r="C22" s="29">
        <f>Theatre!C99</f>
        <v>0</v>
      </c>
      <c r="D22" s="29">
        <f>Theatre!D99</f>
        <v>0</v>
      </c>
      <c r="E22" s="29">
        <f>Theatre!E99</f>
        <v>7074.39</v>
      </c>
      <c r="F22" s="29">
        <f>Theatre!F99</f>
        <v>0</v>
      </c>
      <c r="G22" s="29">
        <f>Theatre!G99</f>
        <v>0</v>
      </c>
      <c r="H22" s="29">
        <f>Theatre!H99</f>
        <v>7074.39</v>
      </c>
      <c r="I22" s="29">
        <f>Theatre!I99</f>
        <v>0</v>
      </c>
      <c r="J22" s="29">
        <f>Theatre!J99</f>
        <v>0</v>
      </c>
      <c r="K22" s="29">
        <f>Theatre!K99</f>
        <v>0</v>
      </c>
      <c r="L22" s="29">
        <f>Theatre!L99</f>
        <v>2153.73</v>
      </c>
      <c r="M22" s="29">
        <f>Theatre!M99</f>
        <v>3250</v>
      </c>
      <c r="N22" s="33">
        <f>SUM(B22:M22)</f>
        <v>26626.9</v>
      </c>
      <c r="O22" s="13"/>
    </row>
    <row r="23" spans="1:15" x14ac:dyDescent="0.25">
      <c r="A23" s="15" t="s">
        <v>102</v>
      </c>
      <c r="B23" s="29">
        <f>Bunkhouse!B132</f>
        <v>5444.17</v>
      </c>
      <c r="C23" s="29">
        <f>Bunkhouse!C132</f>
        <v>4197.17</v>
      </c>
      <c r="D23" s="29">
        <f>Bunkhouse!D132</f>
        <v>4670.17</v>
      </c>
      <c r="E23" s="29">
        <f>Bunkhouse!E132</f>
        <v>6063.37</v>
      </c>
      <c r="F23" s="29">
        <f>Bunkhouse!F132</f>
        <v>6063.37</v>
      </c>
      <c r="G23" s="29">
        <f>Bunkhouse!G132</f>
        <v>4670.17</v>
      </c>
      <c r="H23" s="29">
        <f>Bunkhouse!H132</f>
        <v>4197.17</v>
      </c>
      <c r="I23" s="29">
        <f>Bunkhouse!I132</f>
        <v>3122.17</v>
      </c>
      <c r="J23" s="29">
        <f>Bunkhouse!J132</f>
        <v>3586.5699999999997</v>
      </c>
      <c r="K23" s="29">
        <f>Bunkhouse!K132</f>
        <v>3130.7699999999995</v>
      </c>
      <c r="L23" s="29">
        <f>Bunkhouse!L132</f>
        <v>3104.9700000000003</v>
      </c>
      <c r="M23" s="29">
        <f>Bunkhouse!M132</f>
        <v>5264.07</v>
      </c>
      <c r="N23" s="33">
        <f t="shared" ref="N23:N27" si="10">SUM(B23:M23)</f>
        <v>53514.139999999992</v>
      </c>
      <c r="O23" s="13"/>
    </row>
    <row r="24" spans="1:15" x14ac:dyDescent="0.25">
      <c r="A24" s="15" t="s">
        <v>20</v>
      </c>
      <c r="B24" s="29">
        <f>Cafe!B207</f>
        <v>11842.449999999999</v>
      </c>
      <c r="C24" s="29">
        <f>Cafe!C207</f>
        <v>10652.009999999998</v>
      </c>
      <c r="D24" s="29">
        <f>Cafe!D207</f>
        <v>9577.68</v>
      </c>
      <c r="E24" s="29">
        <f>Cafe!E207</f>
        <v>10783.57</v>
      </c>
      <c r="F24" s="29">
        <f>Cafe!F207</f>
        <v>13907.68</v>
      </c>
      <c r="G24" s="29">
        <f>Cafe!G207</f>
        <v>10822.99</v>
      </c>
      <c r="H24" s="29">
        <f>Cafe!H207</f>
        <v>10627.009999999998</v>
      </c>
      <c r="I24" s="29">
        <f>Cafe!I207</f>
        <v>7610.36</v>
      </c>
      <c r="J24" s="29">
        <f>Cafe!J207</f>
        <v>11596.96</v>
      </c>
      <c r="K24" s="29">
        <f>Cafe!K207</f>
        <v>7651.0199999999995</v>
      </c>
      <c r="L24" s="29">
        <f>Cafe!L207</f>
        <v>7378.48</v>
      </c>
      <c r="M24" s="29">
        <f>Cafe!M207</f>
        <v>12537.419999999998</v>
      </c>
      <c r="N24" s="33">
        <f t="shared" si="10"/>
        <v>124987.62999999999</v>
      </c>
      <c r="O24" s="13"/>
    </row>
    <row r="25" spans="1:15" x14ac:dyDescent="0.25">
      <c r="A25" s="8" t="s">
        <v>153</v>
      </c>
      <c r="B25" s="29">
        <v>1000</v>
      </c>
      <c r="C25" s="29">
        <v>1000</v>
      </c>
      <c r="D25" s="29">
        <v>1000</v>
      </c>
      <c r="E25" s="29">
        <v>1000</v>
      </c>
      <c r="F25" s="29">
        <v>1000</v>
      </c>
      <c r="G25" s="29">
        <v>1000</v>
      </c>
      <c r="H25" s="29">
        <v>1000</v>
      </c>
      <c r="I25" s="29">
        <v>1000</v>
      </c>
      <c r="J25" s="29">
        <v>1000</v>
      </c>
      <c r="K25" s="29">
        <v>1000</v>
      </c>
      <c r="L25" s="29">
        <v>1000</v>
      </c>
      <c r="M25" s="29">
        <v>1000</v>
      </c>
      <c r="N25" s="33">
        <f t="shared" si="10"/>
        <v>12000</v>
      </c>
      <c r="O25" s="13"/>
    </row>
    <row r="26" spans="1:15" x14ac:dyDescent="0.25">
      <c r="A26" s="8" t="s">
        <v>176</v>
      </c>
      <c r="B26" s="29">
        <v>0</v>
      </c>
      <c r="C26" s="29">
        <v>1000</v>
      </c>
      <c r="D26" s="29">
        <v>1500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1000</v>
      </c>
      <c r="M26" s="29">
        <v>1500</v>
      </c>
      <c r="N26" s="33">
        <f t="shared" si="10"/>
        <v>5000</v>
      </c>
      <c r="O26" s="13"/>
    </row>
    <row r="27" spans="1:15" x14ac:dyDescent="0.25">
      <c r="A27" s="8" t="s">
        <v>21</v>
      </c>
      <c r="B27" s="29">
        <f>SUM(B20:B26)</f>
        <v>42038.77</v>
      </c>
      <c r="C27" s="29">
        <f t="shared" ref="C27:M27" si="11">SUM(C20:C26)</f>
        <v>33526.94</v>
      </c>
      <c r="D27" s="29">
        <f t="shared" si="11"/>
        <v>33425.61</v>
      </c>
      <c r="E27" s="29">
        <f t="shared" si="11"/>
        <v>41599.089999999997</v>
      </c>
      <c r="F27" s="29">
        <f t="shared" si="11"/>
        <v>37648.81</v>
      </c>
      <c r="G27" s="29">
        <f t="shared" si="11"/>
        <v>33170.92</v>
      </c>
      <c r="H27" s="29">
        <f t="shared" si="11"/>
        <v>39576.33</v>
      </c>
      <c r="I27" s="29">
        <f t="shared" si="11"/>
        <v>28410.29</v>
      </c>
      <c r="J27" s="29">
        <f t="shared" si="11"/>
        <v>32861.289999999994</v>
      </c>
      <c r="K27" s="29">
        <f t="shared" si="11"/>
        <v>28459.55</v>
      </c>
      <c r="L27" s="29">
        <f t="shared" si="11"/>
        <v>31314.94</v>
      </c>
      <c r="M27" s="29">
        <f t="shared" si="11"/>
        <v>40229.25</v>
      </c>
      <c r="N27" s="43">
        <f t="shared" si="10"/>
        <v>422261.78999999992</v>
      </c>
      <c r="O27" s="13"/>
    </row>
    <row r="28" spans="1:15" x14ac:dyDescent="0.25">
      <c r="A28" s="7" t="s">
        <v>24</v>
      </c>
      <c r="B28" s="29">
        <f t="shared" ref="B28:M28" si="12">SUM(B19+B27)</f>
        <v>42038.77</v>
      </c>
      <c r="C28" s="29">
        <f t="shared" si="12"/>
        <v>33526.94</v>
      </c>
      <c r="D28" s="29">
        <f t="shared" si="12"/>
        <v>33425.61</v>
      </c>
      <c r="E28" s="29">
        <f t="shared" si="12"/>
        <v>41599.089999999997</v>
      </c>
      <c r="F28" s="29">
        <f t="shared" si="12"/>
        <v>37648.81</v>
      </c>
      <c r="G28" s="29">
        <f t="shared" si="12"/>
        <v>33170.92</v>
      </c>
      <c r="H28" s="29">
        <f t="shared" si="12"/>
        <v>39576.33</v>
      </c>
      <c r="I28" s="29">
        <f t="shared" si="12"/>
        <v>28410.29</v>
      </c>
      <c r="J28" s="29">
        <f t="shared" si="12"/>
        <v>32861.289999999994</v>
      </c>
      <c r="K28" s="29">
        <f t="shared" si="12"/>
        <v>28459.55</v>
      </c>
      <c r="L28" s="29">
        <f t="shared" si="12"/>
        <v>31314.94</v>
      </c>
      <c r="M28" s="29">
        <f t="shared" si="12"/>
        <v>40229.25</v>
      </c>
      <c r="N28" s="43">
        <f>SUM(B28:M28)</f>
        <v>422261.78999999992</v>
      </c>
      <c r="O28" s="13"/>
    </row>
    <row r="29" spans="1:15" x14ac:dyDescent="0.25">
      <c r="A29" s="7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4"/>
      <c r="O29" s="13"/>
    </row>
    <row r="30" spans="1:15" x14ac:dyDescent="0.25">
      <c r="A30" s="7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5"/>
      <c r="O30" s="13"/>
    </row>
    <row r="31" spans="1:15" x14ac:dyDescent="0.25">
      <c r="A31" s="7" t="s">
        <v>25</v>
      </c>
      <c r="B31" s="29">
        <f>'YE 2027'!$M$33</f>
        <v>201538.63600300005</v>
      </c>
      <c r="C31" s="29">
        <f t="shared" ref="C31:M31" si="13">SUM(B33)</f>
        <v>225110.39600300006</v>
      </c>
      <c r="D31" s="29">
        <f t="shared" si="13"/>
        <v>226082.76600300006</v>
      </c>
      <c r="E31" s="29">
        <f t="shared" si="13"/>
        <v>228790.18600300007</v>
      </c>
      <c r="F31" s="29">
        <f t="shared" si="13"/>
        <v>255196.00600300007</v>
      </c>
      <c r="G31" s="29">
        <f t="shared" si="13"/>
        <v>277690.56600300007</v>
      </c>
      <c r="H31" s="29">
        <f t="shared" si="13"/>
        <v>283748.95600300009</v>
      </c>
      <c r="I31" s="29">
        <f t="shared" si="13"/>
        <v>295013.1560030001</v>
      </c>
      <c r="J31" s="29">
        <f t="shared" si="13"/>
        <v>282193.39600300009</v>
      </c>
      <c r="K31" s="29">
        <f t="shared" si="13"/>
        <v>278910.47600300011</v>
      </c>
      <c r="L31" s="29">
        <f t="shared" si="13"/>
        <v>265314.95600300009</v>
      </c>
      <c r="M31" s="29">
        <f t="shared" si="13"/>
        <v>251874.79600300008</v>
      </c>
      <c r="N31" s="33"/>
      <c r="O31" s="13"/>
    </row>
    <row r="32" spans="1:15" x14ac:dyDescent="0.25">
      <c r="A32" s="7" t="s">
        <v>26</v>
      </c>
      <c r="B32" s="29">
        <f t="shared" ref="B32:M32" si="14">SUM(B17-B28)</f>
        <v>23571.760000000002</v>
      </c>
      <c r="C32" s="29">
        <f t="shared" si="14"/>
        <v>972.37000000000262</v>
      </c>
      <c r="D32" s="29">
        <f t="shared" si="14"/>
        <v>2707.4200000000055</v>
      </c>
      <c r="E32" s="29">
        <f t="shared" si="14"/>
        <v>26405.820000000007</v>
      </c>
      <c r="F32" s="29">
        <f t="shared" si="14"/>
        <v>22494.560000000005</v>
      </c>
      <c r="G32" s="29">
        <f t="shared" si="14"/>
        <v>6058.3900000000067</v>
      </c>
      <c r="H32" s="29">
        <f t="shared" si="14"/>
        <v>11264.200000000004</v>
      </c>
      <c r="I32" s="29">
        <f t="shared" si="14"/>
        <v>-12819.760000000002</v>
      </c>
      <c r="J32" s="29">
        <f t="shared" si="14"/>
        <v>-3282.9199999999946</v>
      </c>
      <c r="K32" s="29">
        <f t="shared" si="14"/>
        <v>-13595.52</v>
      </c>
      <c r="L32" s="29">
        <f t="shared" si="14"/>
        <v>-13440.16</v>
      </c>
      <c r="M32" s="29">
        <f t="shared" si="14"/>
        <v>-16985.939999999999</v>
      </c>
      <c r="N32" s="34"/>
      <c r="O32" s="13"/>
    </row>
    <row r="33" spans="1:15" x14ac:dyDescent="0.25">
      <c r="A33" s="7" t="s">
        <v>27</v>
      </c>
      <c r="B33" s="29">
        <f>SUM(B31+B32)</f>
        <v>225110.39600300006</v>
      </c>
      <c r="C33" s="29">
        <f t="shared" ref="C33:M33" si="15">SUM(C31+C32)</f>
        <v>226082.76600300006</v>
      </c>
      <c r="D33" s="29">
        <f t="shared" si="15"/>
        <v>228790.18600300007</v>
      </c>
      <c r="E33" s="29">
        <f t="shared" si="15"/>
        <v>255196.00600300007</v>
      </c>
      <c r="F33" s="29">
        <f t="shared" si="15"/>
        <v>277690.56600300007</v>
      </c>
      <c r="G33" s="29">
        <f t="shared" si="15"/>
        <v>283748.95600300009</v>
      </c>
      <c r="H33" s="29">
        <f t="shared" si="15"/>
        <v>295013.1560030001</v>
      </c>
      <c r="I33" s="29">
        <f t="shared" si="15"/>
        <v>282193.39600300009</v>
      </c>
      <c r="J33" s="29">
        <f t="shared" si="15"/>
        <v>278910.47600300011</v>
      </c>
      <c r="K33" s="29">
        <f t="shared" si="15"/>
        <v>265314.95600300009</v>
      </c>
      <c r="L33" s="29">
        <f t="shared" si="15"/>
        <v>251874.79600300008</v>
      </c>
      <c r="M33" s="29">
        <f t="shared" si="15"/>
        <v>234888.85600300008</v>
      </c>
      <c r="N33" s="34"/>
      <c r="O33" s="13"/>
    </row>
    <row r="34" spans="1:15" x14ac:dyDescent="0.25">
      <c r="A34" s="1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12"/>
      <c r="O34" s="10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5"/>
  <sheetViews>
    <sheetView workbookViewId="0">
      <selection activeCell="P1" sqref="P1:P1048576"/>
    </sheetView>
  </sheetViews>
  <sheetFormatPr defaultRowHeight="15" x14ac:dyDescent="0.25"/>
  <cols>
    <col min="1" max="1" width="19.28515625" customWidth="1"/>
    <col min="2" max="2" width="9.5703125" bestFit="1" customWidth="1"/>
    <col min="7" max="7" width="9.42578125" customWidth="1"/>
    <col min="10" max="10" width="18.28515625" customWidth="1"/>
    <col min="15" max="15" width="5.140625" customWidth="1"/>
    <col min="16" max="16" width="13.42578125" customWidth="1"/>
  </cols>
  <sheetData>
    <row r="1" spans="1:17" x14ac:dyDescent="0.25">
      <c r="A1" s="2" t="s">
        <v>104</v>
      </c>
      <c r="B1" s="3"/>
      <c r="C1" s="3"/>
      <c r="D1" s="3"/>
      <c r="E1" s="3"/>
      <c r="F1" s="3"/>
      <c r="L1" t="s">
        <v>88</v>
      </c>
    </row>
    <row r="2" spans="1:17" x14ac:dyDescent="0.25">
      <c r="A2" s="2" t="s">
        <v>148</v>
      </c>
      <c r="B2" s="2"/>
      <c r="C2" s="2" t="s">
        <v>150</v>
      </c>
      <c r="D2" s="2" t="s">
        <v>35</v>
      </c>
      <c r="E2" s="2" t="s">
        <v>36</v>
      </c>
      <c r="F2" s="2" t="s">
        <v>37</v>
      </c>
      <c r="L2" t="s">
        <v>89</v>
      </c>
      <c r="N2" t="s">
        <v>90</v>
      </c>
      <c r="P2">
        <f>SUM(13*6)</f>
        <v>78</v>
      </c>
      <c r="Q2" t="s">
        <v>91</v>
      </c>
    </row>
    <row r="3" spans="1:17" x14ac:dyDescent="0.25">
      <c r="A3" s="22" t="s">
        <v>40</v>
      </c>
      <c r="B3" s="22">
        <f>SUM(30000)</f>
        <v>30000</v>
      </c>
      <c r="C3" s="23">
        <f>SUM((B3-8424)/100*13.8)</f>
        <v>2977.4879999999998</v>
      </c>
      <c r="D3" s="23">
        <f>SUM(B3/100)</f>
        <v>300</v>
      </c>
      <c r="E3" s="23">
        <f>SUM(B3+C3+D3)</f>
        <v>33277.487999999998</v>
      </c>
      <c r="F3" s="22">
        <v>35</v>
      </c>
      <c r="L3" t="s">
        <v>92</v>
      </c>
      <c r="N3" t="s">
        <v>93</v>
      </c>
      <c r="P3">
        <v>6</v>
      </c>
    </row>
    <row r="4" spans="1:17" x14ac:dyDescent="0.25">
      <c r="A4" s="22" t="s">
        <v>87</v>
      </c>
      <c r="B4" s="22">
        <f>SUM(18000/5*3)</f>
        <v>10800</v>
      </c>
      <c r="C4" s="23">
        <f>SUM((B4-8424)/100*13.8)</f>
        <v>327.88800000000003</v>
      </c>
      <c r="D4" s="22">
        <f>SUM(B4/100)</f>
        <v>108</v>
      </c>
      <c r="E4" s="22">
        <f>SUM(B4+C4+D4)</f>
        <v>11235.888000000001</v>
      </c>
      <c r="F4" s="22">
        <v>21</v>
      </c>
      <c r="G4" t="s">
        <v>46</v>
      </c>
      <c r="L4" t="s">
        <v>94</v>
      </c>
      <c r="P4" t="s">
        <v>95</v>
      </c>
    </row>
    <row r="5" spans="1:17" x14ac:dyDescent="0.25">
      <c r="A5" s="22" t="s">
        <v>38</v>
      </c>
      <c r="B5" s="23">
        <f>SUM((8*35*52)/10*6)</f>
        <v>8736</v>
      </c>
      <c r="C5" s="23">
        <f>SUM((B5-8424)/100*13.8)</f>
        <v>43.056000000000004</v>
      </c>
      <c r="D5" s="23">
        <f t="shared" ref="D5:D9" si="0">SUM(B5/100)</f>
        <v>87.36</v>
      </c>
      <c r="E5" s="23">
        <f t="shared" ref="E5:E13" si="1">SUM(B5+C5+D5)</f>
        <v>8866.4160000000011</v>
      </c>
      <c r="F5" s="22">
        <v>21</v>
      </c>
      <c r="G5" t="s">
        <v>45</v>
      </c>
    </row>
    <row r="6" spans="1:17" x14ac:dyDescent="0.25">
      <c r="A6" s="22" t="s">
        <v>146</v>
      </c>
      <c r="B6" s="22">
        <f>SUM(20000/10*5)</f>
        <v>10000</v>
      </c>
      <c r="C6" s="23">
        <f>SUM((B6-8424)/100*13.8)</f>
        <v>217.488</v>
      </c>
      <c r="D6" s="23">
        <f t="shared" ref="D6" si="2">SUM(B6/100)</f>
        <v>100</v>
      </c>
      <c r="E6" s="23">
        <f>SUM(B6+C6+D6)</f>
        <v>10317.487999999999</v>
      </c>
      <c r="F6" s="22">
        <v>17.5</v>
      </c>
      <c r="L6" t="s">
        <v>96</v>
      </c>
      <c r="P6" t="e">
        <f>SUM(#REF!/10*9)</f>
        <v>#REF!</v>
      </c>
    </row>
    <row r="7" spans="1:17" x14ac:dyDescent="0.25">
      <c r="A7" s="22" t="s">
        <v>147</v>
      </c>
      <c r="B7" s="22">
        <v>5000</v>
      </c>
      <c r="C7" s="22">
        <v>0</v>
      </c>
      <c r="D7" s="22">
        <f>SUM(B7/100)</f>
        <v>50</v>
      </c>
      <c r="E7" s="22">
        <f>SUM(B7+C7+D7)</f>
        <v>5050</v>
      </c>
      <c r="F7" s="22">
        <v>10.5</v>
      </c>
    </row>
    <row r="8" spans="1:17" x14ac:dyDescent="0.25">
      <c r="A8" s="22" t="s">
        <v>39</v>
      </c>
      <c r="B8" s="23">
        <f>SUM((8*35*52)/10*5)</f>
        <v>7280</v>
      </c>
      <c r="C8" s="23">
        <v>0</v>
      </c>
      <c r="D8" s="23">
        <f t="shared" ref="D8" si="3">SUM(B8/100)</f>
        <v>72.8</v>
      </c>
      <c r="E8" s="23">
        <f t="shared" si="1"/>
        <v>7352.8</v>
      </c>
      <c r="F8" s="22">
        <v>17.5</v>
      </c>
      <c r="G8" t="s">
        <v>42</v>
      </c>
      <c r="L8" t="s">
        <v>97</v>
      </c>
    </row>
    <row r="9" spans="1:17" x14ac:dyDescent="0.25">
      <c r="A9" s="22" t="s">
        <v>39</v>
      </c>
      <c r="B9" s="23">
        <f>SUM((8*35*52)/10*5)</f>
        <v>7280</v>
      </c>
      <c r="C9" s="23">
        <v>0</v>
      </c>
      <c r="D9" s="23">
        <f t="shared" si="0"/>
        <v>72.8</v>
      </c>
      <c r="E9" s="23">
        <f t="shared" si="1"/>
        <v>7352.8</v>
      </c>
      <c r="F9" s="22">
        <v>17.5</v>
      </c>
      <c r="G9" t="s">
        <v>43</v>
      </c>
    </row>
    <row r="10" spans="1:17" x14ac:dyDescent="0.25">
      <c r="A10" s="22" t="s">
        <v>39</v>
      </c>
      <c r="B10" s="23">
        <f>SUM((8*35*52)/10*5)</f>
        <v>7280</v>
      </c>
      <c r="C10" s="23">
        <v>0</v>
      </c>
      <c r="D10" s="23">
        <f t="shared" ref="D10:D13" si="4">SUM(B10/100)</f>
        <v>72.8</v>
      </c>
      <c r="E10" s="23">
        <f t="shared" si="1"/>
        <v>7352.8</v>
      </c>
      <c r="F10" s="22">
        <v>17.5</v>
      </c>
      <c r="G10" t="s">
        <v>44</v>
      </c>
    </row>
    <row r="11" spans="1:17" x14ac:dyDescent="0.25">
      <c r="A11" s="22" t="s">
        <v>105</v>
      </c>
      <c r="B11" s="22">
        <f>SUM(4.2*35*52)</f>
        <v>7644</v>
      </c>
      <c r="C11" s="23">
        <v>0</v>
      </c>
      <c r="D11" s="23">
        <f t="shared" si="4"/>
        <v>76.44</v>
      </c>
      <c r="E11" s="23">
        <f t="shared" si="1"/>
        <v>7720.44</v>
      </c>
      <c r="F11" s="22">
        <v>35</v>
      </c>
      <c r="G11" t="s">
        <v>106</v>
      </c>
    </row>
    <row r="12" spans="1:17" x14ac:dyDescent="0.25">
      <c r="A12" s="22" t="s">
        <v>105</v>
      </c>
      <c r="B12" s="22">
        <f>SUM(5.6*35*52)</f>
        <v>10192</v>
      </c>
      <c r="C12" s="23">
        <f>SUM((B12-8424)/100*13.8)</f>
        <v>243.98400000000001</v>
      </c>
      <c r="D12" s="23">
        <f t="shared" si="4"/>
        <v>101.92</v>
      </c>
      <c r="E12" s="23">
        <f t="shared" si="1"/>
        <v>10537.904</v>
      </c>
      <c r="F12" s="22">
        <v>35</v>
      </c>
      <c r="G12" t="s">
        <v>107</v>
      </c>
    </row>
    <row r="13" spans="1:17" x14ac:dyDescent="0.25">
      <c r="A13" s="22" t="s">
        <v>105</v>
      </c>
      <c r="B13" s="23">
        <f>SUM(7.38*35*52)</f>
        <v>13431.6</v>
      </c>
      <c r="C13" s="23">
        <f>SUM((B13-8424)/100*13.8)</f>
        <v>691.04880000000003</v>
      </c>
      <c r="D13" s="23">
        <f t="shared" si="4"/>
        <v>134.316</v>
      </c>
      <c r="E13" s="23">
        <f t="shared" si="1"/>
        <v>14256.964800000002</v>
      </c>
      <c r="F13" s="22">
        <v>35</v>
      </c>
      <c r="G13" t="s">
        <v>108</v>
      </c>
    </row>
    <row r="14" spans="1:17" x14ac:dyDescent="0.25">
      <c r="A14" s="15" t="s">
        <v>41</v>
      </c>
      <c r="B14" s="15"/>
      <c r="C14" s="17"/>
      <c r="D14" s="15"/>
      <c r="E14" s="18">
        <f>SUM(E3:E13)</f>
        <v>123320.98880000001</v>
      </c>
      <c r="F14" s="15">
        <f>SUM(F3:F13)</f>
        <v>262.5</v>
      </c>
    </row>
    <row r="15" spans="1:17" x14ac:dyDescent="0.25">
      <c r="A15" s="22" t="s">
        <v>50</v>
      </c>
      <c r="B15" s="21" t="s">
        <v>175</v>
      </c>
      <c r="C15" s="21"/>
      <c r="D15" s="21"/>
      <c r="E15" s="21">
        <f>SUM(E14/12)/100*103</f>
        <v>10585.051538666667</v>
      </c>
      <c r="F15" s="20"/>
    </row>
    <row r="16" spans="1:17" x14ac:dyDescent="0.25">
      <c r="A16" s="19"/>
      <c r="B16" s="14"/>
      <c r="F16" s="20"/>
    </row>
    <row r="17" spans="1:11" x14ac:dyDescent="0.25">
      <c r="A17" s="2" t="s">
        <v>149</v>
      </c>
      <c r="B17" s="2"/>
      <c r="C17" s="2" t="s">
        <v>34</v>
      </c>
      <c r="D17" s="2" t="s">
        <v>35</v>
      </c>
      <c r="E17" s="2" t="s">
        <v>36</v>
      </c>
      <c r="F17" s="2" t="s">
        <v>37</v>
      </c>
    </row>
    <row r="18" spans="1:11" x14ac:dyDescent="0.25">
      <c r="A18" s="22" t="s">
        <v>40</v>
      </c>
      <c r="B18" s="22">
        <f>SUM(30000)</f>
        <v>30000</v>
      </c>
      <c r="C18" s="23">
        <f>SUM((B18-8112)/100*13.8)</f>
        <v>3020.5439999999999</v>
      </c>
      <c r="D18" s="23">
        <f>SUM(B18/100)</f>
        <v>300</v>
      </c>
      <c r="E18" s="23">
        <f>SUM(B18+C18+D18)</f>
        <v>33320.544000000002</v>
      </c>
      <c r="F18" s="22">
        <v>35</v>
      </c>
      <c r="H18" s="24"/>
    </row>
    <row r="19" spans="1:11" x14ac:dyDescent="0.25">
      <c r="A19" s="22" t="s">
        <v>87</v>
      </c>
      <c r="B19" s="22">
        <f>SUM(18000/5*3)</f>
        <v>10800</v>
      </c>
      <c r="C19" s="22">
        <v>0</v>
      </c>
      <c r="D19" s="22">
        <f>SUM(B19/100)</f>
        <v>108</v>
      </c>
      <c r="E19" s="22">
        <f>SUM(B19+C19+D19)</f>
        <v>10908</v>
      </c>
      <c r="F19" s="22">
        <v>21</v>
      </c>
    </row>
    <row r="20" spans="1:11" x14ac:dyDescent="0.25">
      <c r="A20" s="22" t="s">
        <v>38</v>
      </c>
      <c r="B20" s="23">
        <f>SUM((8*35*52)/10*6)</f>
        <v>8736</v>
      </c>
      <c r="C20" s="23">
        <f>SUM((B20-8112)/100*13.8)</f>
        <v>86.112000000000009</v>
      </c>
      <c r="D20" s="23">
        <f t="shared" ref="D20:D21" si="5">SUM(B20/100)</f>
        <v>87.36</v>
      </c>
      <c r="E20" s="23">
        <f t="shared" ref="E20" si="6">SUM(B20+C20+D20)</f>
        <v>8909.4719999999998</v>
      </c>
      <c r="F20" s="22">
        <v>21</v>
      </c>
    </row>
    <row r="21" spans="1:11" x14ac:dyDescent="0.25">
      <c r="A21" s="22" t="s">
        <v>146</v>
      </c>
      <c r="B21" s="22">
        <f>SUM(20000/10*5)</f>
        <v>10000</v>
      </c>
      <c r="C21" s="23">
        <f>SUM((B21-8112)/100*13.8)</f>
        <v>260.54399999999998</v>
      </c>
      <c r="D21" s="23">
        <f t="shared" si="5"/>
        <v>100</v>
      </c>
      <c r="E21" s="23">
        <f>SUM(B21+C21+D21)</f>
        <v>10360.544</v>
      </c>
      <c r="F21" s="22">
        <v>17.5</v>
      </c>
    </row>
    <row r="22" spans="1:11" x14ac:dyDescent="0.25">
      <c r="A22" s="22" t="s">
        <v>147</v>
      </c>
      <c r="B22" s="22">
        <v>5000</v>
      </c>
      <c r="C22" s="22">
        <v>0</v>
      </c>
      <c r="D22" s="22">
        <f>SUM(B22/100)</f>
        <v>50</v>
      </c>
      <c r="E22" s="22">
        <f>SUM(B22+C22+D22)</f>
        <v>5050</v>
      </c>
      <c r="F22" s="22">
        <v>10.5</v>
      </c>
    </row>
    <row r="23" spans="1:11" x14ac:dyDescent="0.25">
      <c r="A23" s="22" t="s">
        <v>39</v>
      </c>
      <c r="B23" s="23">
        <f>SUM((8*35*52)/10*5)</f>
        <v>7280</v>
      </c>
      <c r="C23" s="23">
        <v>0</v>
      </c>
      <c r="D23" s="23">
        <f t="shared" ref="D23" si="7">SUM(B23/100)</f>
        <v>72.8</v>
      </c>
      <c r="E23" s="23">
        <f t="shared" ref="E23:E25" si="8">SUM(B23+C23+D23)</f>
        <v>7352.8</v>
      </c>
      <c r="F23" s="22">
        <v>17.5</v>
      </c>
    </row>
    <row r="24" spans="1:11" x14ac:dyDescent="0.25">
      <c r="A24" s="22" t="s">
        <v>39</v>
      </c>
      <c r="B24" s="23">
        <f>SUM((8*35*52)/10*5)</f>
        <v>7280</v>
      </c>
      <c r="C24" s="23">
        <v>0</v>
      </c>
      <c r="D24" s="23">
        <f t="shared" ref="D24" si="9">SUM(B24/100)</f>
        <v>72.8</v>
      </c>
      <c r="E24" s="23">
        <f t="shared" si="8"/>
        <v>7352.8</v>
      </c>
      <c r="F24" s="22">
        <v>17.5</v>
      </c>
    </row>
    <row r="25" spans="1:11" x14ac:dyDescent="0.25">
      <c r="A25" s="22" t="s">
        <v>39</v>
      </c>
      <c r="B25" s="23">
        <f>SUM((8*35*52)/10*5)</f>
        <v>7280</v>
      </c>
      <c r="C25" s="23">
        <v>0</v>
      </c>
      <c r="D25" s="23">
        <f t="shared" ref="D25" si="10">SUM(B25/100)</f>
        <v>72.8</v>
      </c>
      <c r="E25" s="23">
        <f t="shared" si="8"/>
        <v>7352.8</v>
      </c>
      <c r="F25" s="22">
        <v>17.5</v>
      </c>
    </row>
    <row r="26" spans="1:11" x14ac:dyDescent="0.25">
      <c r="A26" s="15" t="s">
        <v>41</v>
      </c>
      <c r="B26" s="15"/>
      <c r="C26" s="17"/>
      <c r="D26" s="15"/>
      <c r="E26" s="18">
        <f>SUM(E18:E25)</f>
        <v>90606.96</v>
      </c>
      <c r="F26" s="15"/>
    </row>
    <row r="27" spans="1:11" x14ac:dyDescent="0.25">
      <c r="A27" s="22" t="s">
        <v>50</v>
      </c>
      <c r="B27" s="21"/>
      <c r="C27" s="21"/>
      <c r="D27" s="21"/>
      <c r="E27" s="21">
        <f>SUM(E26/12)</f>
        <v>7550.5800000000008</v>
      </c>
      <c r="F27" s="20"/>
    </row>
    <row r="29" spans="1:11" x14ac:dyDescent="0.25">
      <c r="A29" s="2" t="s">
        <v>177</v>
      </c>
      <c r="B29" s="2"/>
      <c r="C29" s="2" t="s">
        <v>34</v>
      </c>
      <c r="D29" s="2" t="s">
        <v>35</v>
      </c>
      <c r="E29" s="2" t="s">
        <v>36</v>
      </c>
      <c r="F29" s="2" t="s">
        <v>37</v>
      </c>
    </row>
    <row r="30" spans="1:11" x14ac:dyDescent="0.25">
      <c r="A30" s="22" t="s">
        <v>158</v>
      </c>
      <c r="B30" s="22">
        <f>SUM(20000/10*8)</f>
        <v>16000</v>
      </c>
      <c r="C30" s="23">
        <f>SUM((B30-8112)/100*13.8)</f>
        <v>1088.5440000000001</v>
      </c>
      <c r="D30" s="23">
        <f>SUM(B30/100)</f>
        <v>160</v>
      </c>
      <c r="E30" s="23">
        <f>SUM(B30+C30+D30)</f>
        <v>17248.544000000002</v>
      </c>
      <c r="F30" s="22">
        <v>28</v>
      </c>
      <c r="G30" t="s">
        <v>160</v>
      </c>
      <c r="H30" t="s">
        <v>161</v>
      </c>
      <c r="I30" t="s">
        <v>162</v>
      </c>
      <c r="K30" t="s">
        <v>163</v>
      </c>
    </row>
    <row r="31" spans="1:11" x14ac:dyDescent="0.25">
      <c r="A31" s="22" t="s">
        <v>158</v>
      </c>
      <c r="B31" s="22">
        <f>SUM(20000/10*8)</f>
        <v>16000</v>
      </c>
      <c r="C31" s="22">
        <v>0</v>
      </c>
      <c r="D31" s="22">
        <f>SUM(B31/100)</f>
        <v>160</v>
      </c>
      <c r="E31" s="22">
        <f>SUM(B31+C31+D31)</f>
        <v>16160</v>
      </c>
      <c r="F31" s="22">
        <v>28</v>
      </c>
      <c r="H31" t="s">
        <v>92</v>
      </c>
      <c r="I31" t="s">
        <v>93</v>
      </c>
      <c r="K31" t="s">
        <v>164</v>
      </c>
    </row>
    <row r="32" spans="1:11" x14ac:dyDescent="0.25">
      <c r="A32" s="22" t="s">
        <v>159</v>
      </c>
      <c r="B32" s="23">
        <f>SUM(8*35*52)/100*40</f>
        <v>5824</v>
      </c>
      <c r="C32" s="23">
        <v>0</v>
      </c>
      <c r="D32" s="23">
        <f t="shared" ref="D32" si="11">SUM(B32/100)</f>
        <v>58.24</v>
      </c>
      <c r="E32" s="23">
        <f t="shared" ref="E32" si="12">SUM(B32+C32+D32)</f>
        <v>5882.24</v>
      </c>
      <c r="F32" s="22">
        <v>14</v>
      </c>
      <c r="G32" t="s">
        <v>165</v>
      </c>
      <c r="K32" t="s">
        <v>166</v>
      </c>
    </row>
    <row r="33" spans="1:11" x14ac:dyDescent="0.25">
      <c r="A33" s="22" t="s">
        <v>159</v>
      </c>
      <c r="B33" s="23">
        <f>SUM(8*35*52)/100*40</f>
        <v>5824</v>
      </c>
      <c r="C33" s="23">
        <v>0</v>
      </c>
      <c r="D33" s="23">
        <f t="shared" ref="D33" si="13">SUM(B33/100)</f>
        <v>58.24</v>
      </c>
      <c r="E33" s="23">
        <f t="shared" ref="E33" si="14">SUM(B33+C33+D33)</f>
        <v>5882.24</v>
      </c>
      <c r="F33" s="22">
        <v>14</v>
      </c>
      <c r="G33" t="s">
        <v>168</v>
      </c>
      <c r="K33" t="s">
        <v>167</v>
      </c>
    </row>
    <row r="34" spans="1:11" x14ac:dyDescent="0.25">
      <c r="A34" s="15" t="s">
        <v>41</v>
      </c>
      <c r="B34" s="15"/>
      <c r="C34" s="17"/>
      <c r="D34" s="15"/>
      <c r="E34" s="18">
        <f>SUM(E30:E33)</f>
        <v>45173.023999999998</v>
      </c>
      <c r="F34" s="15">
        <f>SUM(F30:F33)</f>
        <v>84</v>
      </c>
    </row>
    <row r="35" spans="1:11" x14ac:dyDescent="0.25">
      <c r="A35" s="22" t="s">
        <v>50</v>
      </c>
      <c r="B35" s="21"/>
      <c r="C35" s="21"/>
      <c r="D35" s="21"/>
      <c r="E35" s="21">
        <f>SUM(E34/12)</f>
        <v>3764.4186666666665</v>
      </c>
      <c r="F35" s="20"/>
    </row>
    <row r="36" spans="1:11" x14ac:dyDescent="0.25">
      <c r="A36" s="22" t="s">
        <v>170</v>
      </c>
      <c r="B36" s="42">
        <f>SUM(E30/(7*220))</f>
        <v>11.200353246753249</v>
      </c>
    </row>
    <row r="38" spans="1:11" x14ac:dyDescent="0.25">
      <c r="A38" s="2" t="s">
        <v>178</v>
      </c>
      <c r="B38" s="2"/>
      <c r="C38" s="2" t="s">
        <v>34</v>
      </c>
      <c r="D38" s="2" t="s">
        <v>35</v>
      </c>
      <c r="E38" s="2" t="s">
        <v>36</v>
      </c>
      <c r="F38" s="2" t="s">
        <v>37</v>
      </c>
      <c r="G38" s="44" t="s">
        <v>179</v>
      </c>
    </row>
    <row r="39" spans="1:11" x14ac:dyDescent="0.25">
      <c r="A39" s="22" t="s">
        <v>185</v>
      </c>
      <c r="B39" s="23">
        <f>SUM((8*35*52)/100*65)</f>
        <v>9464</v>
      </c>
      <c r="C39" s="23">
        <f>SUM((B39-8112)/100*13.8)</f>
        <v>186.57599999999999</v>
      </c>
      <c r="D39" s="23">
        <f>SUM(B39/100)</f>
        <v>94.64</v>
      </c>
      <c r="E39" s="23">
        <f>SUM(B39+C39+D39)</f>
        <v>9745.2159999999985</v>
      </c>
      <c r="F39" s="22">
        <v>23</v>
      </c>
      <c r="G39" t="s">
        <v>180</v>
      </c>
      <c r="J39">
        <f>SUM(3*360)</f>
        <v>1080</v>
      </c>
    </row>
    <row r="40" spans="1:11" x14ac:dyDescent="0.25">
      <c r="A40" s="22"/>
      <c r="B40" s="22"/>
      <c r="C40" s="22"/>
      <c r="D40" s="22"/>
      <c r="E40" s="22"/>
      <c r="F40" s="22"/>
      <c r="G40" t="s">
        <v>183</v>
      </c>
      <c r="J40">
        <f>SUM(J39/100*110)</f>
        <v>1188</v>
      </c>
    </row>
    <row r="41" spans="1:11" x14ac:dyDescent="0.25">
      <c r="A41" s="22"/>
      <c r="B41" s="23"/>
      <c r="C41" s="23"/>
      <c r="D41" s="23"/>
      <c r="E41" s="23"/>
      <c r="F41" s="22"/>
      <c r="G41" t="s">
        <v>181</v>
      </c>
      <c r="H41">
        <f>SUM(35*52)</f>
        <v>1820</v>
      </c>
      <c r="I41" t="s">
        <v>182</v>
      </c>
    </row>
    <row r="42" spans="1:11" x14ac:dyDescent="0.25">
      <c r="A42" s="22"/>
      <c r="B42" s="23"/>
      <c r="C42" s="23"/>
      <c r="D42" s="23"/>
      <c r="E42" s="23"/>
      <c r="F42" s="22"/>
      <c r="G42" t="s">
        <v>184</v>
      </c>
      <c r="J42" s="42">
        <f>SUM(J40/H41)</f>
        <v>0.65274725274725276</v>
      </c>
    </row>
    <row r="43" spans="1:11" x14ac:dyDescent="0.25">
      <c r="A43" s="15" t="s">
        <v>41</v>
      </c>
      <c r="B43" s="15"/>
      <c r="C43" s="17"/>
      <c r="D43" s="15"/>
      <c r="E43" s="18">
        <f>SUM(E39:E42)</f>
        <v>9745.2159999999985</v>
      </c>
      <c r="F43" s="15">
        <f>SUM(F39:F42)</f>
        <v>23</v>
      </c>
    </row>
    <row r="44" spans="1:11" x14ac:dyDescent="0.25">
      <c r="A44" s="22" t="s">
        <v>50</v>
      </c>
      <c r="B44" s="21"/>
      <c r="C44" s="21"/>
      <c r="D44" s="21"/>
      <c r="E44" s="21">
        <f>SUM(E43/12)</f>
        <v>812.10133333333317</v>
      </c>
      <c r="F44" s="20"/>
    </row>
    <row r="45" spans="1:11" x14ac:dyDescent="0.25">
      <c r="A45" s="22"/>
      <c r="B45" s="42"/>
      <c r="G45" t="s">
        <v>186</v>
      </c>
      <c r="I45" s="24">
        <f>SUM(387/35)</f>
        <v>11.057142857142857</v>
      </c>
      <c r="J45" t="s">
        <v>187</v>
      </c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C8" sqref="C8"/>
    </sheetView>
  </sheetViews>
  <sheetFormatPr defaultRowHeight="15" x14ac:dyDescent="0.25"/>
  <cols>
    <col min="1" max="1" width="39.7109375" customWidth="1"/>
  </cols>
  <sheetData>
    <row r="1" spans="1:3" x14ac:dyDescent="0.25">
      <c r="A1" s="15" t="s">
        <v>58</v>
      </c>
      <c r="B1" s="36">
        <v>1500</v>
      </c>
    </row>
    <row r="2" spans="1:3" x14ac:dyDescent="0.25">
      <c r="A2" s="15" t="s">
        <v>59</v>
      </c>
      <c r="B2" s="36">
        <v>1000</v>
      </c>
    </row>
    <row r="3" spans="1:3" x14ac:dyDescent="0.25">
      <c r="A3" s="15" t="s">
        <v>60</v>
      </c>
      <c r="B3" s="36">
        <v>2000</v>
      </c>
    </row>
    <row r="4" spans="1:3" x14ac:dyDescent="0.25">
      <c r="A4" s="15" t="s">
        <v>61</v>
      </c>
      <c r="B4" s="36">
        <v>500</v>
      </c>
    </row>
    <row r="5" spans="1:3" x14ac:dyDescent="0.25">
      <c r="A5" s="15" t="s">
        <v>48</v>
      </c>
      <c r="B5" s="36">
        <v>3000</v>
      </c>
    </row>
    <row r="6" spans="1:3" x14ac:dyDescent="0.25">
      <c r="A6" s="15" t="s">
        <v>62</v>
      </c>
      <c r="B6" s="36">
        <v>3200</v>
      </c>
    </row>
    <row r="7" spans="1:3" x14ac:dyDescent="0.25">
      <c r="A7" s="15" t="s">
        <v>63</v>
      </c>
      <c r="B7" s="36">
        <v>3100</v>
      </c>
    </row>
    <row r="8" spans="1:3" x14ac:dyDescent="0.25">
      <c r="A8" s="15" t="s">
        <v>29</v>
      </c>
      <c r="B8" s="36">
        <v>0</v>
      </c>
    </row>
    <row r="9" spans="1:3" x14ac:dyDescent="0.25">
      <c r="A9" s="15" t="s">
        <v>30</v>
      </c>
      <c r="B9" s="36">
        <v>1200</v>
      </c>
    </row>
    <row r="10" spans="1:3" x14ac:dyDescent="0.25">
      <c r="A10" s="15" t="s">
        <v>64</v>
      </c>
      <c r="B10" s="36">
        <v>2400</v>
      </c>
    </row>
    <row r="11" spans="1:3" x14ac:dyDescent="0.25">
      <c r="A11" s="15" t="s">
        <v>31</v>
      </c>
      <c r="B11" s="36">
        <v>2400</v>
      </c>
    </row>
    <row r="12" spans="1:3" x14ac:dyDescent="0.25">
      <c r="A12" s="15" t="s">
        <v>65</v>
      </c>
      <c r="B12" s="36">
        <v>2400</v>
      </c>
    </row>
    <row r="13" spans="1:3" x14ac:dyDescent="0.25">
      <c r="A13" s="15" t="s">
        <v>66</v>
      </c>
      <c r="B13" s="36">
        <v>1500</v>
      </c>
    </row>
    <row r="14" spans="1:3" x14ac:dyDescent="0.25">
      <c r="A14" s="15" t="s">
        <v>67</v>
      </c>
      <c r="B14" s="36">
        <v>6000</v>
      </c>
      <c r="C14" s="24"/>
    </row>
    <row r="15" spans="1:3" x14ac:dyDescent="0.25">
      <c r="A15" s="15" t="s">
        <v>68</v>
      </c>
      <c r="B15" s="36">
        <v>2400</v>
      </c>
    </row>
    <row r="16" spans="1:3" x14ac:dyDescent="0.25">
      <c r="A16" s="15" t="s">
        <v>32</v>
      </c>
      <c r="B16" s="36">
        <v>500</v>
      </c>
    </row>
    <row r="17" spans="1:3" x14ac:dyDescent="0.25">
      <c r="A17" s="15" t="s">
        <v>33</v>
      </c>
      <c r="B17" s="36">
        <v>1500</v>
      </c>
    </row>
    <row r="18" spans="1:3" x14ac:dyDescent="0.25">
      <c r="A18" s="15" t="s">
        <v>69</v>
      </c>
      <c r="B18" s="36">
        <v>1800</v>
      </c>
    </row>
    <row r="20" spans="1:3" x14ac:dyDescent="0.25">
      <c r="A20" s="15" t="s">
        <v>3</v>
      </c>
      <c r="B20" s="37">
        <f>SUM(B1:B19)</f>
        <v>36400</v>
      </c>
    </row>
    <row r="21" spans="1:3" x14ac:dyDescent="0.25">
      <c r="A21" s="15" t="s">
        <v>50</v>
      </c>
      <c r="B21" s="24">
        <f>SUM(B20/12)</f>
        <v>3033.3333333333335</v>
      </c>
      <c r="C21">
        <v>2021</v>
      </c>
    </row>
    <row r="22" spans="1:3" x14ac:dyDescent="0.25">
      <c r="B22" s="24">
        <f>SUM(B21/100*103)</f>
        <v>3124.3333333333335</v>
      </c>
      <c r="C22">
        <v>2022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3"/>
  <sheetViews>
    <sheetView workbookViewId="0">
      <selection activeCell="B43" sqref="B43"/>
    </sheetView>
  </sheetViews>
  <sheetFormatPr defaultColWidth="9.28515625" defaultRowHeight="15" x14ac:dyDescent="0.25"/>
  <cols>
    <col min="1" max="1" width="22.28515625" style="5" customWidth="1"/>
    <col min="2" max="3" width="10.28515625" style="5" bestFit="1" customWidth="1"/>
    <col min="4" max="14" width="9.28515625" style="5"/>
    <col min="15" max="15" width="3.5703125" style="5" customWidth="1"/>
    <col min="16" max="16" width="15.28515625" style="5" customWidth="1"/>
    <col min="17" max="16384" width="9.28515625" style="5"/>
  </cols>
  <sheetData>
    <row r="1" spans="1:15" x14ac:dyDescent="0.25">
      <c r="A1" s="7" t="s">
        <v>133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25">
      <c r="A2" s="7"/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3</v>
      </c>
      <c r="O2" s="8"/>
    </row>
    <row r="3" spans="1:15" x14ac:dyDescent="0.25">
      <c r="A3" s="9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3"/>
      <c r="O3" s="13"/>
    </row>
    <row r="4" spans="1:15" x14ac:dyDescent="0.25">
      <c r="A4" s="8" t="s">
        <v>126</v>
      </c>
      <c r="B4" s="29">
        <v>0</v>
      </c>
      <c r="C4" s="29">
        <v>0</v>
      </c>
      <c r="D4" s="29">
        <v>0</v>
      </c>
      <c r="E4" s="29">
        <f>SUM(16*50*5)</f>
        <v>4000</v>
      </c>
      <c r="F4" s="29">
        <f>SUM(31*50*5)</f>
        <v>7750</v>
      </c>
      <c r="G4" s="29">
        <f>SUM(30*50*5)</f>
        <v>7500</v>
      </c>
      <c r="H4" s="29">
        <f>SUM(31*50*5)</f>
        <v>7750</v>
      </c>
      <c r="I4" s="29">
        <f>SUM(30*25*5)</f>
        <v>3750</v>
      </c>
      <c r="J4" s="29">
        <f>SUM(21*50*5)</f>
        <v>5250</v>
      </c>
      <c r="K4" s="29">
        <f>SUM(24*25*5)</f>
        <v>3000</v>
      </c>
      <c r="L4" s="29">
        <f>SUM(21*25*5)</f>
        <v>2625</v>
      </c>
      <c r="M4" s="29">
        <f>SUM(30*40*5)</f>
        <v>6000</v>
      </c>
      <c r="N4" s="33">
        <f>SUM(B4:M4)</f>
        <v>47625</v>
      </c>
      <c r="O4" s="8"/>
    </row>
    <row r="5" spans="1:15" x14ac:dyDescent="0.25">
      <c r="A5" s="15" t="s">
        <v>56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f>SUM(3*50*15)</f>
        <v>2250</v>
      </c>
      <c r="K5" s="29">
        <f>SUM(50*15)</f>
        <v>750</v>
      </c>
      <c r="L5" s="29">
        <v>0</v>
      </c>
      <c r="M5" s="29">
        <v>0</v>
      </c>
      <c r="N5" s="33">
        <f>SUM(B5:M5)</f>
        <v>3000</v>
      </c>
      <c r="O5" s="8"/>
    </row>
    <row r="6" spans="1:15" x14ac:dyDescent="0.25">
      <c r="A6" s="15" t="s">
        <v>127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f>SUM(4*150*3)</f>
        <v>1800</v>
      </c>
      <c r="K6" s="29">
        <v>0</v>
      </c>
      <c r="L6" s="29">
        <v>0</v>
      </c>
      <c r="M6" s="29">
        <v>0</v>
      </c>
      <c r="N6" s="33">
        <f t="shared" ref="N6:N8" si="0">SUM(B6:M6)</f>
        <v>1800</v>
      </c>
      <c r="O6" s="8"/>
    </row>
    <row r="7" spans="1:15" x14ac:dyDescent="0.25">
      <c r="A7" s="15" t="s">
        <v>128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f>SUM(100*3)</f>
        <v>300</v>
      </c>
      <c r="H7" s="29">
        <f t="shared" ref="H7:I7" si="1">SUM(100*3)</f>
        <v>300</v>
      </c>
      <c r="I7" s="29">
        <f t="shared" si="1"/>
        <v>300</v>
      </c>
      <c r="J7" s="29">
        <v>0</v>
      </c>
      <c r="K7" s="29">
        <f t="shared" ref="K7:M7" si="2">SUM(100*3)</f>
        <v>300</v>
      </c>
      <c r="L7" s="29">
        <f t="shared" si="2"/>
        <v>300</v>
      </c>
      <c r="M7" s="29">
        <f t="shared" si="2"/>
        <v>300</v>
      </c>
      <c r="N7" s="33">
        <f t="shared" si="0"/>
        <v>1800</v>
      </c>
      <c r="O7" s="8"/>
    </row>
    <row r="8" spans="1:15" x14ac:dyDescent="0.25">
      <c r="A8" s="15" t="s">
        <v>129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f>SUM(400*3)</f>
        <v>1200</v>
      </c>
      <c r="I8" s="29">
        <v>0</v>
      </c>
      <c r="J8" s="29">
        <v>0</v>
      </c>
      <c r="K8" s="29">
        <v>0</v>
      </c>
      <c r="L8" s="29">
        <f>SUM(200*3)</f>
        <v>600</v>
      </c>
      <c r="M8" s="29">
        <v>0</v>
      </c>
      <c r="N8" s="33">
        <f t="shared" si="0"/>
        <v>1800</v>
      </c>
      <c r="O8" s="8"/>
    </row>
    <row r="9" spans="1:15" x14ac:dyDescent="0.25">
      <c r="A9" s="8" t="s">
        <v>157</v>
      </c>
      <c r="B9" s="29">
        <v>0</v>
      </c>
      <c r="C9" s="29">
        <v>0</v>
      </c>
      <c r="D9" s="29">
        <v>0</v>
      </c>
      <c r="E9" s="29">
        <v>0</v>
      </c>
      <c r="F9" s="29">
        <f>SUM(1050*5)+(1050*3)</f>
        <v>8400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33">
        <f>SUM(B9:M9)</f>
        <v>8400</v>
      </c>
      <c r="O9" s="13"/>
    </row>
    <row r="10" spans="1:15" x14ac:dyDescent="0.25">
      <c r="A10" s="7" t="s">
        <v>22</v>
      </c>
      <c r="B10" s="29">
        <f>SUM(B4:B9)</f>
        <v>0</v>
      </c>
      <c r="C10" s="29">
        <f t="shared" ref="C10:N10" si="3">SUM(C4:C9)</f>
        <v>0</v>
      </c>
      <c r="D10" s="29">
        <f t="shared" si="3"/>
        <v>0</v>
      </c>
      <c r="E10" s="29">
        <f t="shared" si="3"/>
        <v>4000</v>
      </c>
      <c r="F10" s="29">
        <f t="shared" si="3"/>
        <v>16150</v>
      </c>
      <c r="G10" s="29">
        <f t="shared" si="3"/>
        <v>7800</v>
      </c>
      <c r="H10" s="29">
        <f t="shared" si="3"/>
        <v>9250</v>
      </c>
      <c r="I10" s="29">
        <f t="shared" si="3"/>
        <v>4050</v>
      </c>
      <c r="J10" s="29">
        <f t="shared" si="3"/>
        <v>9300</v>
      </c>
      <c r="K10" s="29">
        <f t="shared" si="3"/>
        <v>4050</v>
      </c>
      <c r="L10" s="29">
        <f t="shared" si="3"/>
        <v>3525</v>
      </c>
      <c r="M10" s="29">
        <f t="shared" si="3"/>
        <v>6300</v>
      </c>
      <c r="N10" s="33">
        <f t="shared" si="3"/>
        <v>64425</v>
      </c>
      <c r="O10" s="13"/>
    </row>
    <row r="11" spans="1:15" x14ac:dyDescent="0.25">
      <c r="A11" s="7" t="s">
        <v>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3"/>
      <c r="O11" s="13"/>
    </row>
    <row r="12" spans="1:15" x14ac:dyDescent="0.25">
      <c r="A12" s="7" t="s">
        <v>23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33"/>
      <c r="O12" s="13"/>
    </row>
    <row r="13" spans="1:15" x14ac:dyDescent="0.25">
      <c r="A13" s="8" t="s">
        <v>169</v>
      </c>
      <c r="B13" s="29">
        <v>0</v>
      </c>
      <c r="C13" s="29">
        <v>0</v>
      </c>
      <c r="D13" s="29">
        <v>0</v>
      </c>
      <c r="E13" s="29">
        <f>Staffing!$E$35</f>
        <v>3764.4186666666665</v>
      </c>
      <c r="F13" s="29">
        <f>Staffing!$E$35</f>
        <v>3764.4186666666665</v>
      </c>
      <c r="G13" s="29">
        <f>Staffing!$E$35</f>
        <v>3764.4186666666665</v>
      </c>
      <c r="H13" s="29">
        <f>Staffing!$E$35</f>
        <v>3764.4186666666665</v>
      </c>
      <c r="I13" s="29">
        <f>Staffing!$E$35</f>
        <v>3764.4186666666665</v>
      </c>
      <c r="J13" s="29">
        <f>Staffing!$E$35</f>
        <v>3764.4186666666665</v>
      </c>
      <c r="K13" s="29">
        <f>Staffing!$E$35</f>
        <v>3764.4186666666665</v>
      </c>
      <c r="L13" s="29">
        <f>Staffing!$E$35</f>
        <v>3764.4186666666665</v>
      </c>
      <c r="M13" s="29">
        <f>Staffing!$E$35</f>
        <v>3764.4186666666665</v>
      </c>
      <c r="N13" s="33">
        <f>SUM(B13:M13)</f>
        <v>33879.767999999989</v>
      </c>
      <c r="O13" s="13"/>
    </row>
    <row r="14" spans="1:15" x14ac:dyDescent="0.25">
      <c r="A14" s="15" t="s">
        <v>130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f>SUM(2*3*8.45)</f>
        <v>50.699999999999996</v>
      </c>
      <c r="H14" s="29">
        <f>SUM(2*6*8.45)</f>
        <v>101.39999999999999</v>
      </c>
      <c r="I14" s="29">
        <f>SUM(2*3*8.45)</f>
        <v>50.699999999999996</v>
      </c>
      <c r="J14" s="29">
        <f>SUM(2*7*8.45)+ (11.2*4*3)</f>
        <v>252.69999999999996</v>
      </c>
      <c r="K14" s="29">
        <f>SUM(2*7*8.45)+ (11.2*4)</f>
        <v>163.09999999999997</v>
      </c>
      <c r="L14" s="29">
        <f>SUM(2*6*8.45)</f>
        <v>101.39999999999999</v>
      </c>
      <c r="M14" s="29">
        <f>SUM(2*3*8.45)</f>
        <v>50.699999999999996</v>
      </c>
      <c r="N14" s="33">
        <f t="shared" ref="N14:N20" si="4">SUM(B14:M14)</f>
        <v>770.69999999999993</v>
      </c>
      <c r="O14" s="13"/>
    </row>
    <row r="15" spans="1:15" x14ac:dyDescent="0.25">
      <c r="A15" s="15" t="s">
        <v>30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3">
        <f t="shared" si="4"/>
        <v>0</v>
      </c>
      <c r="O15" s="13"/>
    </row>
    <row r="16" spans="1:15" x14ac:dyDescent="0.25">
      <c r="A16" s="15" t="s">
        <v>64</v>
      </c>
      <c r="B16" s="29">
        <v>0</v>
      </c>
      <c r="C16" s="29">
        <v>0</v>
      </c>
      <c r="D16" s="29">
        <v>0</v>
      </c>
      <c r="E16" s="29">
        <v>150</v>
      </c>
      <c r="F16" s="29">
        <v>150</v>
      </c>
      <c r="G16" s="29">
        <v>150</v>
      </c>
      <c r="H16" s="29">
        <v>150</v>
      </c>
      <c r="I16" s="29">
        <v>150</v>
      </c>
      <c r="J16" s="29">
        <v>150</v>
      </c>
      <c r="K16" s="29">
        <v>150</v>
      </c>
      <c r="L16" s="29">
        <v>150</v>
      </c>
      <c r="M16" s="29">
        <v>150</v>
      </c>
      <c r="N16" s="33">
        <f t="shared" si="4"/>
        <v>1350</v>
      </c>
      <c r="O16" s="13"/>
    </row>
    <row r="17" spans="1:15" x14ac:dyDescent="0.25">
      <c r="A17" s="15" t="s">
        <v>131</v>
      </c>
      <c r="B17" s="29">
        <v>0</v>
      </c>
      <c r="C17" s="29">
        <v>0</v>
      </c>
      <c r="D17" s="29">
        <v>0</v>
      </c>
      <c r="E17" s="29">
        <f>'Recharging Income'!$E$21</f>
        <v>266.66666666666669</v>
      </c>
      <c r="F17" s="29">
        <f>'Recharging Income'!$E$21</f>
        <v>266.66666666666669</v>
      </c>
      <c r="G17" s="29">
        <f>'Recharging Income'!$E$21</f>
        <v>266.66666666666669</v>
      </c>
      <c r="H17" s="29">
        <f>'Recharging Income'!$E$21</f>
        <v>266.66666666666669</v>
      </c>
      <c r="I17" s="29">
        <f>'Recharging Income'!$E$21</f>
        <v>266.66666666666669</v>
      </c>
      <c r="J17" s="29">
        <f>'Recharging Income'!$E$21</f>
        <v>266.66666666666669</v>
      </c>
      <c r="K17" s="29">
        <f>'Recharging Income'!$E$21</f>
        <v>266.66666666666669</v>
      </c>
      <c r="L17" s="29">
        <f>'Recharging Income'!$E$21</f>
        <v>266.66666666666669</v>
      </c>
      <c r="M17" s="29">
        <f>'Recharging Income'!$E$21</f>
        <v>266.66666666666669</v>
      </c>
      <c r="N17" s="33">
        <f t="shared" si="4"/>
        <v>2400</v>
      </c>
      <c r="O17" s="13"/>
    </row>
    <row r="18" spans="1:15" x14ac:dyDescent="0.25">
      <c r="A18" s="15" t="s">
        <v>32</v>
      </c>
      <c r="B18" s="29">
        <v>0</v>
      </c>
      <c r="C18" s="29">
        <v>0</v>
      </c>
      <c r="D18" s="29">
        <v>0</v>
      </c>
      <c r="E18" s="29">
        <f>SUM(825+220)</f>
        <v>1045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3">
        <f t="shared" si="4"/>
        <v>1045</v>
      </c>
      <c r="O18" s="13"/>
    </row>
    <row r="19" spans="1:15" x14ac:dyDescent="0.25">
      <c r="A19" s="15" t="s">
        <v>33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3">
        <f t="shared" si="4"/>
        <v>0</v>
      </c>
      <c r="O19" s="13"/>
    </row>
    <row r="20" spans="1:15" x14ac:dyDescent="0.25">
      <c r="A20" s="15" t="s">
        <v>132</v>
      </c>
      <c r="B20" s="29">
        <v>0</v>
      </c>
      <c r="C20" s="29">
        <v>0</v>
      </c>
      <c r="D20" s="29">
        <v>0</v>
      </c>
      <c r="E20" s="29">
        <f>SUM(E10/100*40)</f>
        <v>1600</v>
      </c>
      <c r="F20" s="29">
        <f t="shared" ref="F20:M20" si="5">SUM(F10/100*40)</f>
        <v>6460</v>
      </c>
      <c r="G20" s="29">
        <f t="shared" si="5"/>
        <v>3120</v>
      </c>
      <c r="H20" s="29">
        <f t="shared" si="5"/>
        <v>3700</v>
      </c>
      <c r="I20" s="29">
        <f t="shared" si="5"/>
        <v>1620</v>
      </c>
      <c r="J20" s="29">
        <f t="shared" si="5"/>
        <v>3720</v>
      </c>
      <c r="K20" s="29">
        <f t="shared" si="5"/>
        <v>1620</v>
      </c>
      <c r="L20" s="29">
        <f t="shared" si="5"/>
        <v>1410</v>
      </c>
      <c r="M20" s="29">
        <f t="shared" si="5"/>
        <v>2520</v>
      </c>
      <c r="N20" s="33">
        <f t="shared" si="4"/>
        <v>25770</v>
      </c>
      <c r="O20" s="13"/>
    </row>
    <row r="21" spans="1:15" x14ac:dyDescent="0.25">
      <c r="A21" s="7" t="s">
        <v>24</v>
      </c>
      <c r="B21" s="29">
        <f>SUM(B13:B20)</f>
        <v>0</v>
      </c>
      <c r="C21" s="29">
        <f t="shared" ref="C21:M21" si="6">SUM(C13:C20)</f>
        <v>0</v>
      </c>
      <c r="D21" s="29">
        <f t="shared" si="6"/>
        <v>0</v>
      </c>
      <c r="E21" s="29">
        <f t="shared" si="6"/>
        <v>6826.0853333333334</v>
      </c>
      <c r="F21" s="29">
        <f t="shared" si="6"/>
        <v>10641.085333333333</v>
      </c>
      <c r="G21" s="29">
        <f t="shared" si="6"/>
        <v>7351.7853333333333</v>
      </c>
      <c r="H21" s="29">
        <f t="shared" si="6"/>
        <v>7982.4853333333331</v>
      </c>
      <c r="I21" s="29">
        <f t="shared" si="6"/>
        <v>5851.7853333333333</v>
      </c>
      <c r="J21" s="29">
        <f t="shared" si="6"/>
        <v>8153.7853333333333</v>
      </c>
      <c r="K21" s="29">
        <f t="shared" si="6"/>
        <v>5964.1853333333329</v>
      </c>
      <c r="L21" s="29">
        <f t="shared" si="6"/>
        <v>5692.4853333333331</v>
      </c>
      <c r="M21" s="29">
        <f t="shared" si="6"/>
        <v>6751.7853333333333</v>
      </c>
      <c r="N21" s="33">
        <f>SUM(N13:N20)</f>
        <v>65215.467999999986</v>
      </c>
      <c r="O21" s="13"/>
    </row>
    <row r="22" spans="1:15" x14ac:dyDescent="0.25">
      <c r="A22" s="7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5"/>
      <c r="O22" s="13"/>
    </row>
    <row r="23" spans="1:15" x14ac:dyDescent="0.25">
      <c r="A23" s="7" t="s">
        <v>25</v>
      </c>
      <c r="B23" s="29">
        <v>0</v>
      </c>
      <c r="C23" s="29">
        <f t="shared" ref="C23:M23" si="7">SUM(B25)</f>
        <v>0</v>
      </c>
      <c r="D23" s="29">
        <f t="shared" si="7"/>
        <v>0</v>
      </c>
      <c r="E23" s="29">
        <f t="shared" si="7"/>
        <v>0</v>
      </c>
      <c r="F23" s="29">
        <f t="shared" si="7"/>
        <v>-2826.0853333333334</v>
      </c>
      <c r="G23" s="29">
        <f t="shared" si="7"/>
        <v>2682.829333333334</v>
      </c>
      <c r="H23" s="29">
        <f t="shared" si="7"/>
        <v>3131.0440000000008</v>
      </c>
      <c r="I23" s="29">
        <f t="shared" si="7"/>
        <v>4398.5586666666677</v>
      </c>
      <c r="J23" s="29">
        <f t="shared" si="7"/>
        <v>2596.7733333333344</v>
      </c>
      <c r="K23" s="29">
        <f t="shared" si="7"/>
        <v>3742.9880000000012</v>
      </c>
      <c r="L23" s="29">
        <f t="shared" si="7"/>
        <v>1828.8026666666683</v>
      </c>
      <c r="M23" s="29">
        <f t="shared" si="7"/>
        <v>-338.68266666666477</v>
      </c>
      <c r="N23" s="33"/>
      <c r="O23" s="13"/>
    </row>
    <row r="24" spans="1:15" x14ac:dyDescent="0.25">
      <c r="A24" s="7" t="s">
        <v>26</v>
      </c>
      <c r="B24" s="29">
        <f t="shared" ref="B24:M24" si="8">SUM(B10-B21)</f>
        <v>0</v>
      </c>
      <c r="C24" s="29">
        <f t="shared" si="8"/>
        <v>0</v>
      </c>
      <c r="D24" s="29">
        <f t="shared" si="8"/>
        <v>0</v>
      </c>
      <c r="E24" s="29">
        <f t="shared" si="8"/>
        <v>-2826.0853333333334</v>
      </c>
      <c r="F24" s="29">
        <f t="shared" si="8"/>
        <v>5508.9146666666675</v>
      </c>
      <c r="G24" s="29">
        <f t="shared" si="8"/>
        <v>448.21466666666674</v>
      </c>
      <c r="H24" s="29">
        <f t="shared" si="8"/>
        <v>1267.5146666666669</v>
      </c>
      <c r="I24" s="29">
        <f t="shared" si="8"/>
        <v>-1801.7853333333333</v>
      </c>
      <c r="J24" s="29">
        <f t="shared" si="8"/>
        <v>1146.2146666666667</v>
      </c>
      <c r="K24" s="29">
        <f t="shared" si="8"/>
        <v>-1914.1853333333329</v>
      </c>
      <c r="L24" s="29">
        <f t="shared" si="8"/>
        <v>-2167.4853333333331</v>
      </c>
      <c r="M24" s="29">
        <f t="shared" si="8"/>
        <v>-451.78533333333326</v>
      </c>
      <c r="N24" s="34"/>
      <c r="O24" s="13"/>
    </row>
    <row r="25" spans="1:15" x14ac:dyDescent="0.25">
      <c r="A25" s="7" t="s">
        <v>27</v>
      </c>
      <c r="B25" s="29">
        <f>SUM(B23+B24)</f>
        <v>0</v>
      </c>
      <c r="C25" s="29">
        <f t="shared" ref="C25:M25" si="9">SUM(C23+C24)</f>
        <v>0</v>
      </c>
      <c r="D25" s="29">
        <f t="shared" si="9"/>
        <v>0</v>
      </c>
      <c r="E25" s="29">
        <f t="shared" si="9"/>
        <v>-2826.0853333333334</v>
      </c>
      <c r="F25" s="29">
        <f t="shared" si="9"/>
        <v>2682.829333333334</v>
      </c>
      <c r="G25" s="29">
        <f t="shared" si="9"/>
        <v>3131.0440000000008</v>
      </c>
      <c r="H25" s="29">
        <f t="shared" si="9"/>
        <v>4398.5586666666677</v>
      </c>
      <c r="I25" s="29">
        <f t="shared" si="9"/>
        <v>2596.7733333333344</v>
      </c>
      <c r="J25" s="29">
        <f t="shared" si="9"/>
        <v>3742.9880000000012</v>
      </c>
      <c r="K25" s="29">
        <f t="shared" si="9"/>
        <v>1828.8026666666683</v>
      </c>
      <c r="L25" s="29">
        <f t="shared" si="9"/>
        <v>-338.68266666666477</v>
      </c>
      <c r="M25" s="29">
        <f t="shared" si="9"/>
        <v>-790.46799999999803</v>
      </c>
      <c r="N25" s="34"/>
      <c r="O25" s="13"/>
    </row>
    <row r="26" spans="1:15" x14ac:dyDescent="0.25">
      <c r="A26" s="11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12"/>
      <c r="O26" s="10"/>
    </row>
    <row r="27" spans="1:15" x14ac:dyDescent="0.25">
      <c r="A27" s="7" t="s">
        <v>134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25">
      <c r="A28" s="7"/>
      <c r="B28" s="7" t="s">
        <v>4</v>
      </c>
      <c r="C28" s="7" t="s">
        <v>5</v>
      </c>
      <c r="D28" s="7" t="s">
        <v>6</v>
      </c>
      <c r="E28" s="7" t="s">
        <v>7</v>
      </c>
      <c r="F28" s="7" t="s">
        <v>8</v>
      </c>
      <c r="G28" s="7" t="s">
        <v>9</v>
      </c>
      <c r="H28" s="7" t="s">
        <v>10</v>
      </c>
      <c r="I28" s="7" t="s">
        <v>11</v>
      </c>
      <c r="J28" s="7" t="s">
        <v>12</v>
      </c>
      <c r="K28" s="7" t="s">
        <v>13</v>
      </c>
      <c r="L28" s="7" t="s">
        <v>14</v>
      </c>
      <c r="M28" s="7" t="s">
        <v>15</v>
      </c>
      <c r="N28" s="7" t="s">
        <v>3</v>
      </c>
      <c r="O28" s="8"/>
    </row>
    <row r="29" spans="1:15" x14ac:dyDescent="0.25">
      <c r="A29" s="9" t="s">
        <v>16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3"/>
      <c r="O29" s="13"/>
    </row>
    <row r="30" spans="1:15" x14ac:dyDescent="0.25">
      <c r="A30" s="8" t="s">
        <v>126</v>
      </c>
      <c r="B30" s="29">
        <f t="shared" ref="B30" si="10">SUM(31*50*5)</f>
        <v>7750</v>
      </c>
      <c r="C30" s="29">
        <f>SUM(30*50*5)</f>
        <v>7500</v>
      </c>
      <c r="D30" s="29">
        <f>SUM(30*50*5)</f>
        <v>7500</v>
      </c>
      <c r="E30" s="29">
        <f>SUM(31*50*5)</f>
        <v>7750</v>
      </c>
      <c r="F30" s="29">
        <f>SUM(31*50*5)</f>
        <v>7750</v>
      </c>
      <c r="G30" s="29">
        <f>SUM(30*50*5)</f>
        <v>7500</v>
      </c>
      <c r="H30" s="29">
        <f>SUM(31*50*5)</f>
        <v>7750</v>
      </c>
      <c r="I30" s="29">
        <f>SUM(30*25*5)</f>
        <v>3750</v>
      </c>
      <c r="J30" s="29">
        <f>SUM(21*50*5)</f>
        <v>5250</v>
      </c>
      <c r="K30" s="29">
        <f>SUM(24*25*5)</f>
        <v>3000</v>
      </c>
      <c r="L30" s="29">
        <f>SUM(21*25*5)</f>
        <v>2625</v>
      </c>
      <c r="M30" s="29">
        <f>SUM(30*40*5)</f>
        <v>6000</v>
      </c>
      <c r="N30" s="33">
        <f>SUM(B30:M30)</f>
        <v>74125</v>
      </c>
      <c r="O30" s="8"/>
    </row>
    <row r="31" spans="1:15" x14ac:dyDescent="0.25">
      <c r="A31" s="15" t="s">
        <v>56</v>
      </c>
      <c r="B31" s="29">
        <f>SUM(3*50*15)</f>
        <v>2250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f>SUM(3*50*15)</f>
        <v>2250</v>
      </c>
      <c r="K31" s="29">
        <f>SUM(50*15)</f>
        <v>750</v>
      </c>
      <c r="L31" s="29">
        <v>0</v>
      </c>
      <c r="M31" s="29">
        <v>0</v>
      </c>
      <c r="N31" s="33">
        <f>SUM(B31:M31)</f>
        <v>5250</v>
      </c>
      <c r="O31" s="8"/>
    </row>
    <row r="32" spans="1:15" x14ac:dyDescent="0.25">
      <c r="A32" s="15" t="s">
        <v>127</v>
      </c>
      <c r="B32" s="29">
        <v>0</v>
      </c>
      <c r="C32" s="29">
        <f>SUM(4*150*3)</f>
        <v>1800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f>SUM(4*150*3)</f>
        <v>1800</v>
      </c>
      <c r="K32" s="29">
        <v>0</v>
      </c>
      <c r="L32" s="29">
        <v>0</v>
      </c>
      <c r="M32" s="29">
        <f>SUM(4*150*3)</f>
        <v>1800</v>
      </c>
      <c r="N32" s="33">
        <f t="shared" ref="N32:N34" si="11">SUM(B32:M32)</f>
        <v>5400</v>
      </c>
      <c r="O32" s="8"/>
    </row>
    <row r="33" spans="1:15" x14ac:dyDescent="0.25">
      <c r="A33" s="15" t="s">
        <v>128</v>
      </c>
      <c r="B33" s="29">
        <f>SUM(2*100*3)</f>
        <v>600</v>
      </c>
      <c r="C33" s="29">
        <f t="shared" ref="C33:E33" si="12">SUM(2*100*3)</f>
        <v>600</v>
      </c>
      <c r="D33" s="29">
        <f t="shared" si="12"/>
        <v>600</v>
      </c>
      <c r="E33" s="29">
        <f t="shared" si="12"/>
        <v>600</v>
      </c>
      <c r="F33" s="29">
        <v>0</v>
      </c>
      <c r="G33" s="29">
        <f t="shared" ref="G33:I33" si="13">SUM(2*100*3)</f>
        <v>600</v>
      </c>
      <c r="H33" s="29">
        <f t="shared" si="13"/>
        <v>600</v>
      </c>
      <c r="I33" s="29">
        <f t="shared" si="13"/>
        <v>600</v>
      </c>
      <c r="J33" s="29">
        <v>0</v>
      </c>
      <c r="K33" s="29">
        <f t="shared" ref="K33" si="14">SUM(100*3)</f>
        <v>300</v>
      </c>
      <c r="L33" s="29">
        <f t="shared" ref="L33:M33" si="15">SUM(2*100*3)</f>
        <v>600</v>
      </c>
      <c r="M33" s="29">
        <f t="shared" si="15"/>
        <v>600</v>
      </c>
      <c r="N33" s="33">
        <f t="shared" si="11"/>
        <v>5700</v>
      </c>
      <c r="O33" s="8"/>
    </row>
    <row r="34" spans="1:15" x14ac:dyDescent="0.25">
      <c r="A34" s="15" t="s">
        <v>129</v>
      </c>
      <c r="B34" s="29">
        <f>SUM(400*3)</f>
        <v>1200</v>
      </c>
      <c r="C34" s="29">
        <v>0</v>
      </c>
      <c r="D34" s="29">
        <v>0</v>
      </c>
      <c r="E34" s="29">
        <f>SUM(400*3)</f>
        <v>1200</v>
      </c>
      <c r="F34" s="29">
        <v>0</v>
      </c>
      <c r="G34" s="29">
        <v>0</v>
      </c>
      <c r="H34" s="29">
        <f>SUM(400*3)</f>
        <v>1200</v>
      </c>
      <c r="I34" s="29">
        <v>0</v>
      </c>
      <c r="J34" s="29">
        <v>0</v>
      </c>
      <c r="K34" s="29">
        <v>0</v>
      </c>
      <c r="L34" s="29">
        <f>SUM(200*3)</f>
        <v>600</v>
      </c>
      <c r="M34" s="29">
        <v>0</v>
      </c>
      <c r="N34" s="33">
        <f t="shared" si="11"/>
        <v>4200</v>
      </c>
      <c r="O34" s="8"/>
    </row>
    <row r="35" spans="1:15" x14ac:dyDescent="0.25">
      <c r="A35" s="8" t="s">
        <v>157</v>
      </c>
      <c r="B35" s="29">
        <v>0</v>
      </c>
      <c r="C35" s="29">
        <v>0</v>
      </c>
      <c r="D35" s="29">
        <v>0</v>
      </c>
      <c r="E35" s="29">
        <v>0</v>
      </c>
      <c r="F35" s="29">
        <f>SUM(1050*5)+(1050*3)</f>
        <v>8400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33">
        <f>SUM(B35:M35)</f>
        <v>8400</v>
      </c>
      <c r="O35" s="13"/>
    </row>
    <row r="36" spans="1:15" x14ac:dyDescent="0.25">
      <c r="A36" s="7" t="s">
        <v>22</v>
      </c>
      <c r="B36" s="29">
        <f>SUM(B30:B35)</f>
        <v>11800</v>
      </c>
      <c r="C36" s="29">
        <f t="shared" ref="C36:N36" si="16">SUM(C30:C35)</f>
        <v>9900</v>
      </c>
      <c r="D36" s="29">
        <f t="shared" si="16"/>
        <v>8100</v>
      </c>
      <c r="E36" s="29">
        <f t="shared" si="16"/>
        <v>9550</v>
      </c>
      <c r="F36" s="29">
        <f t="shared" si="16"/>
        <v>16150</v>
      </c>
      <c r="G36" s="29">
        <f t="shared" si="16"/>
        <v>8100</v>
      </c>
      <c r="H36" s="29">
        <f t="shared" si="16"/>
        <v>9550</v>
      </c>
      <c r="I36" s="29">
        <f t="shared" si="16"/>
        <v>4350</v>
      </c>
      <c r="J36" s="29">
        <f t="shared" si="16"/>
        <v>9300</v>
      </c>
      <c r="K36" s="29">
        <f t="shared" si="16"/>
        <v>4050</v>
      </c>
      <c r="L36" s="29">
        <f t="shared" si="16"/>
        <v>3825</v>
      </c>
      <c r="M36" s="29">
        <f t="shared" si="16"/>
        <v>8400</v>
      </c>
      <c r="N36" s="33">
        <f t="shared" si="16"/>
        <v>103075</v>
      </c>
      <c r="O36" s="13"/>
    </row>
    <row r="37" spans="1:15" x14ac:dyDescent="0.25">
      <c r="A37" s="7" t="s">
        <v>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3"/>
      <c r="O37" s="13"/>
    </row>
    <row r="38" spans="1:15" x14ac:dyDescent="0.25">
      <c r="A38" s="7" t="s">
        <v>23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33"/>
      <c r="O38" s="13"/>
    </row>
    <row r="39" spans="1:15" x14ac:dyDescent="0.25">
      <c r="A39" s="8" t="s">
        <v>169</v>
      </c>
      <c r="B39" s="29">
        <f>SUM(3820/100*103)</f>
        <v>3934.6000000000004</v>
      </c>
      <c r="C39" s="29">
        <f t="shared" ref="C39:M39" si="17">SUM(3820/100*103)</f>
        <v>3934.6000000000004</v>
      </c>
      <c r="D39" s="29">
        <f t="shared" si="17"/>
        <v>3934.6000000000004</v>
      </c>
      <c r="E39" s="29">
        <f t="shared" si="17"/>
        <v>3934.6000000000004</v>
      </c>
      <c r="F39" s="29">
        <f t="shared" si="17"/>
        <v>3934.6000000000004</v>
      </c>
      <c r="G39" s="29">
        <f t="shared" si="17"/>
        <v>3934.6000000000004</v>
      </c>
      <c r="H39" s="29">
        <f t="shared" si="17"/>
        <v>3934.6000000000004</v>
      </c>
      <c r="I39" s="29">
        <f t="shared" si="17"/>
        <v>3934.6000000000004</v>
      </c>
      <c r="J39" s="29">
        <f t="shared" si="17"/>
        <v>3934.6000000000004</v>
      </c>
      <c r="K39" s="29">
        <f t="shared" si="17"/>
        <v>3934.6000000000004</v>
      </c>
      <c r="L39" s="29">
        <f t="shared" si="17"/>
        <v>3934.6000000000004</v>
      </c>
      <c r="M39" s="29">
        <f t="shared" si="17"/>
        <v>3934.6000000000004</v>
      </c>
      <c r="N39" s="33">
        <f>SUM(B39:M39)</f>
        <v>47215.19999999999</v>
      </c>
      <c r="O39" s="13"/>
    </row>
    <row r="40" spans="1:15" x14ac:dyDescent="0.25">
      <c r="A40" s="15" t="s">
        <v>130</v>
      </c>
      <c r="B40" s="29">
        <f>SUM(2*7*8.45)+ (11.2*4*3)+ (3*3*8.45)</f>
        <v>328.74999999999994</v>
      </c>
      <c r="C40" s="29">
        <f>SUM(4*3*8.45)</f>
        <v>101.39999999999999</v>
      </c>
      <c r="D40" s="29">
        <v>0</v>
      </c>
      <c r="E40" s="29">
        <v>0</v>
      </c>
      <c r="F40" s="29">
        <v>0</v>
      </c>
      <c r="G40" s="29">
        <f>SUM(2*3*8.45)</f>
        <v>50.699999999999996</v>
      </c>
      <c r="H40" s="29">
        <f>SUM(2*6*8.45)</f>
        <v>101.39999999999999</v>
      </c>
      <c r="I40" s="29">
        <f>SUM(2*3*8.45)</f>
        <v>50.699999999999996</v>
      </c>
      <c r="J40" s="29">
        <f>SUM(2*7*8.45)+ (11.2*4*3)</f>
        <v>252.69999999999996</v>
      </c>
      <c r="K40" s="29">
        <f>SUM(2*7*8.45)+ (11.2*4)</f>
        <v>163.09999999999997</v>
      </c>
      <c r="L40" s="29">
        <f>SUM(2*6*8.45)</f>
        <v>101.39999999999999</v>
      </c>
      <c r="M40" s="29">
        <f>SUM(2*3*8.45)</f>
        <v>50.699999999999996</v>
      </c>
      <c r="N40" s="33">
        <f t="shared" ref="N40:N46" si="18">SUM(B40:M40)</f>
        <v>1200.8499999999999</v>
      </c>
      <c r="O40" s="13"/>
    </row>
    <row r="41" spans="1:15" x14ac:dyDescent="0.25">
      <c r="A41" s="15" t="s">
        <v>30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2400</v>
      </c>
      <c r="N41" s="33">
        <f t="shared" si="18"/>
        <v>2400</v>
      </c>
      <c r="O41" s="13"/>
    </row>
    <row r="42" spans="1:15" x14ac:dyDescent="0.25">
      <c r="A42" s="15" t="s">
        <v>64</v>
      </c>
      <c r="B42" s="29">
        <v>150</v>
      </c>
      <c r="C42" s="29">
        <v>150</v>
      </c>
      <c r="D42" s="29">
        <v>150</v>
      </c>
      <c r="E42" s="29">
        <v>150</v>
      </c>
      <c r="F42" s="29">
        <v>150</v>
      </c>
      <c r="G42" s="29">
        <v>150</v>
      </c>
      <c r="H42" s="29">
        <v>150</v>
      </c>
      <c r="I42" s="29">
        <v>150</v>
      </c>
      <c r="J42" s="29">
        <v>150</v>
      </c>
      <c r="K42" s="29">
        <v>150</v>
      </c>
      <c r="L42" s="29">
        <v>150</v>
      </c>
      <c r="M42" s="29">
        <v>150</v>
      </c>
      <c r="N42" s="33">
        <f t="shared" si="18"/>
        <v>1800</v>
      </c>
      <c r="O42" s="13"/>
    </row>
    <row r="43" spans="1:15" x14ac:dyDescent="0.25">
      <c r="A43" s="15" t="s">
        <v>131</v>
      </c>
      <c r="B43" s="29">
        <f>SUM(267/100*103)</f>
        <v>275.01</v>
      </c>
      <c r="C43" s="29">
        <f t="shared" ref="C43:M43" si="19">SUM(267/100*103)</f>
        <v>275.01</v>
      </c>
      <c r="D43" s="29">
        <f t="shared" si="19"/>
        <v>275.01</v>
      </c>
      <c r="E43" s="29">
        <f t="shared" si="19"/>
        <v>275.01</v>
      </c>
      <c r="F43" s="29">
        <f t="shared" si="19"/>
        <v>275.01</v>
      </c>
      <c r="G43" s="29">
        <f t="shared" si="19"/>
        <v>275.01</v>
      </c>
      <c r="H43" s="29">
        <f t="shared" si="19"/>
        <v>275.01</v>
      </c>
      <c r="I43" s="29">
        <f t="shared" si="19"/>
        <v>275.01</v>
      </c>
      <c r="J43" s="29">
        <f t="shared" si="19"/>
        <v>275.01</v>
      </c>
      <c r="K43" s="29">
        <f t="shared" si="19"/>
        <v>275.01</v>
      </c>
      <c r="L43" s="29">
        <f t="shared" si="19"/>
        <v>275.01</v>
      </c>
      <c r="M43" s="29">
        <f t="shared" si="19"/>
        <v>275.01</v>
      </c>
      <c r="N43" s="33">
        <f t="shared" si="18"/>
        <v>3300.1200000000008</v>
      </c>
      <c r="O43" s="13"/>
    </row>
    <row r="44" spans="1:15" x14ac:dyDescent="0.25">
      <c r="A44" s="15" t="s">
        <v>32</v>
      </c>
      <c r="B44" s="29">
        <v>0</v>
      </c>
      <c r="C44" s="29">
        <v>0</v>
      </c>
      <c r="D44" s="29">
        <v>0</v>
      </c>
      <c r="E44" s="29">
        <f>SUM(220/100*103)</f>
        <v>226.60000000000002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33">
        <f t="shared" si="18"/>
        <v>226.60000000000002</v>
      </c>
      <c r="O44" s="13"/>
    </row>
    <row r="45" spans="1:15" x14ac:dyDescent="0.25">
      <c r="A45" s="15" t="s">
        <v>33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33">
        <f t="shared" si="18"/>
        <v>0</v>
      </c>
      <c r="O45" s="13"/>
    </row>
    <row r="46" spans="1:15" x14ac:dyDescent="0.25">
      <c r="A46" s="15" t="s">
        <v>132</v>
      </c>
      <c r="B46" s="29">
        <f t="shared" ref="B46:D46" si="20">SUM(B36/100*40)</f>
        <v>4720</v>
      </c>
      <c r="C46" s="29">
        <f t="shared" si="20"/>
        <v>3960</v>
      </c>
      <c r="D46" s="29">
        <f t="shared" si="20"/>
        <v>3240</v>
      </c>
      <c r="E46" s="29">
        <f>SUM(E36/100*40)</f>
        <v>3820</v>
      </c>
      <c r="F46" s="29">
        <f t="shared" ref="F46:M46" si="21">SUM(F36/100*40)</f>
        <v>6460</v>
      </c>
      <c r="G46" s="29">
        <f t="shared" si="21"/>
        <v>3240</v>
      </c>
      <c r="H46" s="29">
        <f t="shared" si="21"/>
        <v>3820</v>
      </c>
      <c r="I46" s="29">
        <f t="shared" si="21"/>
        <v>1740</v>
      </c>
      <c r="J46" s="29">
        <f t="shared" si="21"/>
        <v>3720</v>
      </c>
      <c r="K46" s="29">
        <f t="shared" si="21"/>
        <v>1620</v>
      </c>
      <c r="L46" s="29">
        <f t="shared" si="21"/>
        <v>1530</v>
      </c>
      <c r="M46" s="29">
        <f t="shared" si="21"/>
        <v>3360</v>
      </c>
      <c r="N46" s="33">
        <f t="shared" si="18"/>
        <v>41230</v>
      </c>
      <c r="O46" s="13"/>
    </row>
    <row r="47" spans="1:15" x14ac:dyDescent="0.25">
      <c r="A47" s="7" t="s">
        <v>24</v>
      </c>
      <c r="B47" s="29">
        <f>SUM(B39:B46)</f>
        <v>9408.36</v>
      </c>
      <c r="C47" s="29">
        <f t="shared" ref="C47" si="22">SUM(C39:C46)</f>
        <v>8421.01</v>
      </c>
      <c r="D47" s="29">
        <f t="shared" ref="D47" si="23">SUM(D39:D46)</f>
        <v>7599.6100000000006</v>
      </c>
      <c r="E47" s="29">
        <f t="shared" ref="E47" si="24">SUM(E39:E46)</f>
        <v>8406.2100000000009</v>
      </c>
      <c r="F47" s="29">
        <f t="shared" ref="F47" si="25">SUM(F39:F46)</f>
        <v>10819.61</v>
      </c>
      <c r="G47" s="29">
        <f t="shared" ref="G47" si="26">SUM(G39:G46)</f>
        <v>7650.31</v>
      </c>
      <c r="H47" s="29">
        <f t="shared" ref="H47" si="27">SUM(H39:H46)</f>
        <v>8281.01</v>
      </c>
      <c r="I47" s="29">
        <f t="shared" ref="I47" si="28">SUM(I39:I46)</f>
        <v>6150.31</v>
      </c>
      <c r="J47" s="29">
        <f t="shared" ref="J47" si="29">SUM(J39:J46)</f>
        <v>8332.3100000000013</v>
      </c>
      <c r="K47" s="29">
        <f t="shared" ref="K47" si="30">SUM(K39:K46)</f>
        <v>6142.7100000000009</v>
      </c>
      <c r="L47" s="29">
        <f t="shared" ref="L47" si="31">SUM(L39:L46)</f>
        <v>5991.01</v>
      </c>
      <c r="M47" s="29">
        <f t="shared" ref="M47" si="32">SUM(M39:M46)</f>
        <v>10170.310000000001</v>
      </c>
      <c r="N47" s="33">
        <f>SUM(N39:N46)</f>
        <v>97372.76999999999</v>
      </c>
      <c r="O47" s="13"/>
    </row>
    <row r="48" spans="1:15" x14ac:dyDescent="0.25">
      <c r="A48" s="7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5"/>
      <c r="O48" s="13"/>
    </row>
    <row r="49" spans="1:15" x14ac:dyDescent="0.25">
      <c r="A49" s="7" t="s">
        <v>25</v>
      </c>
      <c r="B49" s="29">
        <f>$M$25</f>
        <v>-790.46799999999803</v>
      </c>
      <c r="C49" s="29">
        <f t="shared" ref="C49" si="33">SUM(B51)</f>
        <v>1601.1720000000014</v>
      </c>
      <c r="D49" s="29">
        <f t="shared" ref="D49" si="34">SUM(C51)</f>
        <v>3080.1620000000012</v>
      </c>
      <c r="E49" s="29">
        <f t="shared" ref="E49" si="35">SUM(D51)</f>
        <v>3580.5520000000006</v>
      </c>
      <c r="F49" s="29">
        <f t="shared" ref="F49" si="36">SUM(E51)</f>
        <v>4724.3419999999996</v>
      </c>
      <c r="G49" s="29">
        <f t="shared" ref="G49" si="37">SUM(F51)</f>
        <v>10054.732</v>
      </c>
      <c r="H49" s="29">
        <f t="shared" ref="H49" si="38">SUM(G51)</f>
        <v>10504.421999999999</v>
      </c>
      <c r="I49" s="29">
        <f t="shared" ref="I49" si="39">SUM(H51)</f>
        <v>11773.411999999998</v>
      </c>
      <c r="J49" s="29">
        <f t="shared" ref="J49" si="40">SUM(I51)</f>
        <v>9973.101999999999</v>
      </c>
      <c r="K49" s="29">
        <f t="shared" ref="K49" si="41">SUM(J51)</f>
        <v>10940.791999999998</v>
      </c>
      <c r="L49" s="29">
        <f t="shared" ref="L49" si="42">SUM(K51)</f>
        <v>8848.0819999999967</v>
      </c>
      <c r="M49" s="29">
        <f t="shared" ref="M49" si="43">SUM(L51)</f>
        <v>6682.0719999999965</v>
      </c>
      <c r="N49" s="33"/>
      <c r="O49" s="13"/>
    </row>
    <row r="50" spans="1:15" x14ac:dyDescent="0.25">
      <c r="A50" s="7" t="s">
        <v>26</v>
      </c>
      <c r="B50" s="29">
        <f t="shared" ref="B50:M50" si="44">SUM(B36-B47)</f>
        <v>2391.6399999999994</v>
      </c>
      <c r="C50" s="29">
        <f t="shared" si="44"/>
        <v>1478.9899999999998</v>
      </c>
      <c r="D50" s="29">
        <f t="shared" si="44"/>
        <v>500.38999999999942</v>
      </c>
      <c r="E50" s="29">
        <f t="shared" si="44"/>
        <v>1143.7899999999991</v>
      </c>
      <c r="F50" s="29">
        <f t="shared" si="44"/>
        <v>5330.3899999999994</v>
      </c>
      <c r="G50" s="29">
        <f t="shared" si="44"/>
        <v>449.6899999999996</v>
      </c>
      <c r="H50" s="29">
        <f t="shared" si="44"/>
        <v>1268.9899999999998</v>
      </c>
      <c r="I50" s="29">
        <f t="shared" si="44"/>
        <v>-1800.3100000000004</v>
      </c>
      <c r="J50" s="29">
        <f t="shared" si="44"/>
        <v>967.68999999999869</v>
      </c>
      <c r="K50" s="29">
        <f t="shared" si="44"/>
        <v>-2092.7100000000009</v>
      </c>
      <c r="L50" s="29">
        <f t="shared" si="44"/>
        <v>-2166.0100000000002</v>
      </c>
      <c r="M50" s="29">
        <f t="shared" si="44"/>
        <v>-1770.3100000000013</v>
      </c>
      <c r="N50" s="34"/>
      <c r="O50" s="13"/>
    </row>
    <row r="51" spans="1:15" x14ac:dyDescent="0.25">
      <c r="A51" s="7" t="s">
        <v>27</v>
      </c>
      <c r="B51" s="29">
        <f>SUM(B49+B50)</f>
        <v>1601.1720000000014</v>
      </c>
      <c r="C51" s="29">
        <f t="shared" ref="C51:M51" si="45">SUM(C49+C50)</f>
        <v>3080.1620000000012</v>
      </c>
      <c r="D51" s="29">
        <f t="shared" si="45"/>
        <v>3580.5520000000006</v>
      </c>
      <c r="E51" s="29">
        <f t="shared" si="45"/>
        <v>4724.3419999999996</v>
      </c>
      <c r="F51" s="29">
        <f t="shared" si="45"/>
        <v>10054.732</v>
      </c>
      <c r="G51" s="29">
        <f t="shared" si="45"/>
        <v>10504.421999999999</v>
      </c>
      <c r="H51" s="29">
        <f t="shared" si="45"/>
        <v>11773.411999999998</v>
      </c>
      <c r="I51" s="29">
        <f t="shared" si="45"/>
        <v>9973.101999999999</v>
      </c>
      <c r="J51" s="29">
        <f t="shared" si="45"/>
        <v>10940.791999999998</v>
      </c>
      <c r="K51" s="29">
        <f t="shared" si="45"/>
        <v>8848.0819999999967</v>
      </c>
      <c r="L51" s="29">
        <f t="shared" si="45"/>
        <v>6682.0719999999965</v>
      </c>
      <c r="M51" s="29">
        <f t="shared" si="45"/>
        <v>4911.7619999999952</v>
      </c>
      <c r="N51" s="34"/>
      <c r="O51" s="13"/>
    </row>
    <row r="52" spans="1:15" x14ac:dyDescent="0.25">
      <c r="A52" s="11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12"/>
      <c r="O52" s="10"/>
    </row>
    <row r="53" spans="1:15" x14ac:dyDescent="0.25">
      <c r="A53" s="7" t="s">
        <v>135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x14ac:dyDescent="0.25">
      <c r="A54" s="7"/>
      <c r="B54" s="7" t="s">
        <v>4</v>
      </c>
      <c r="C54" s="7" t="s">
        <v>5</v>
      </c>
      <c r="D54" s="7" t="s">
        <v>6</v>
      </c>
      <c r="E54" s="7" t="s">
        <v>7</v>
      </c>
      <c r="F54" s="7" t="s">
        <v>8</v>
      </c>
      <c r="G54" s="7" t="s">
        <v>9</v>
      </c>
      <c r="H54" s="7" t="s">
        <v>10</v>
      </c>
      <c r="I54" s="7" t="s">
        <v>11</v>
      </c>
      <c r="J54" s="7" t="s">
        <v>12</v>
      </c>
      <c r="K54" s="7" t="s">
        <v>13</v>
      </c>
      <c r="L54" s="7" t="s">
        <v>14</v>
      </c>
      <c r="M54" s="7" t="s">
        <v>15</v>
      </c>
      <c r="N54" s="7" t="s">
        <v>3</v>
      </c>
      <c r="O54" s="8"/>
    </row>
    <row r="55" spans="1:15" x14ac:dyDescent="0.25">
      <c r="A55" s="9" t="s">
        <v>16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33"/>
      <c r="O55" s="13"/>
    </row>
    <row r="56" spans="1:15" x14ac:dyDescent="0.25">
      <c r="A56" s="8" t="s">
        <v>126</v>
      </c>
      <c r="B56" s="29">
        <f>SUM(31*50*5.5)</f>
        <v>8525</v>
      </c>
      <c r="C56" s="29">
        <f>SUM(30*50*5.5)</f>
        <v>8250</v>
      </c>
      <c r="D56" s="29">
        <f>SUM(30*50*5.5)</f>
        <v>8250</v>
      </c>
      <c r="E56" s="29">
        <f>SUM(31*50*5.5)</f>
        <v>8525</v>
      </c>
      <c r="F56" s="29">
        <f>SUM(31*50*5.5)</f>
        <v>8525</v>
      </c>
      <c r="G56" s="29">
        <f>SUM(30*50*5.5)</f>
        <v>8250</v>
      </c>
      <c r="H56" s="29">
        <f>SUM(31*50*5.5)</f>
        <v>8525</v>
      </c>
      <c r="I56" s="29">
        <f>SUM(30*25*5.5)</f>
        <v>4125</v>
      </c>
      <c r="J56" s="29">
        <f>SUM(21*50*5.5)</f>
        <v>5775</v>
      </c>
      <c r="K56" s="29">
        <f>SUM(24*25*5.5)</f>
        <v>3300</v>
      </c>
      <c r="L56" s="29">
        <f>SUM(21*25*5.5)</f>
        <v>2887.5</v>
      </c>
      <c r="M56" s="29">
        <f>SUM(30*40*5.5)</f>
        <v>6600</v>
      </c>
      <c r="N56" s="33">
        <f>SUM(B56:M56)</f>
        <v>81537.5</v>
      </c>
      <c r="O56" s="8"/>
    </row>
    <row r="57" spans="1:15" x14ac:dyDescent="0.25">
      <c r="A57" s="15" t="s">
        <v>56</v>
      </c>
      <c r="B57" s="29">
        <f>SUM(3*50*15)</f>
        <v>2250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f>SUM(3*50*15)</f>
        <v>2250</v>
      </c>
      <c r="K57" s="29">
        <f>SUM(50*15)</f>
        <v>750</v>
      </c>
      <c r="L57" s="29">
        <v>0</v>
      </c>
      <c r="M57" s="29">
        <v>0</v>
      </c>
      <c r="N57" s="33">
        <f>SUM(B57:M57)</f>
        <v>5250</v>
      </c>
      <c r="O57" s="8"/>
    </row>
    <row r="58" spans="1:15" x14ac:dyDescent="0.25">
      <c r="A58" s="15" t="s">
        <v>127</v>
      </c>
      <c r="B58" s="29">
        <v>0</v>
      </c>
      <c r="C58" s="29">
        <f>SUM(4*150*3)</f>
        <v>1800</v>
      </c>
      <c r="D58" s="29">
        <v>0</v>
      </c>
      <c r="E58" s="29">
        <v>0</v>
      </c>
      <c r="F58" s="29">
        <v>0</v>
      </c>
      <c r="G58" s="29">
        <f>SUM(4*150*3)</f>
        <v>1800</v>
      </c>
      <c r="H58" s="29">
        <v>0</v>
      </c>
      <c r="I58" s="29">
        <v>0</v>
      </c>
      <c r="J58" s="29">
        <f>SUM(4*150*3)</f>
        <v>1800</v>
      </c>
      <c r="K58" s="29">
        <v>0</v>
      </c>
      <c r="L58" s="29">
        <v>0</v>
      </c>
      <c r="M58" s="29">
        <f>SUM(4*150*3)</f>
        <v>1800</v>
      </c>
      <c r="N58" s="33">
        <f t="shared" ref="N58:N60" si="46">SUM(B58:M58)</f>
        <v>7200</v>
      </c>
      <c r="O58" s="8"/>
    </row>
    <row r="59" spans="1:15" x14ac:dyDescent="0.25">
      <c r="A59" s="15" t="s">
        <v>128</v>
      </c>
      <c r="B59" s="29">
        <f>SUM(2*100*3)</f>
        <v>600</v>
      </c>
      <c r="C59" s="29">
        <f t="shared" ref="C59:E59" si="47">SUM(2*100*3)</f>
        <v>600</v>
      </c>
      <c r="D59" s="29">
        <f t="shared" si="47"/>
        <v>600</v>
      </c>
      <c r="E59" s="29">
        <f t="shared" si="47"/>
        <v>600</v>
      </c>
      <c r="F59" s="29">
        <v>0</v>
      </c>
      <c r="G59" s="29">
        <f t="shared" ref="G59:I59" si="48">SUM(2*100*3)</f>
        <v>600</v>
      </c>
      <c r="H59" s="29">
        <f t="shared" si="48"/>
        <v>600</v>
      </c>
      <c r="I59" s="29">
        <f t="shared" si="48"/>
        <v>600</v>
      </c>
      <c r="J59" s="29">
        <v>0</v>
      </c>
      <c r="K59" s="29">
        <f t="shared" ref="K59" si="49">SUM(100*3)</f>
        <v>300</v>
      </c>
      <c r="L59" s="29">
        <f t="shared" ref="L59:M59" si="50">SUM(2*100*3)</f>
        <v>600</v>
      </c>
      <c r="M59" s="29">
        <f t="shared" si="50"/>
        <v>600</v>
      </c>
      <c r="N59" s="33">
        <f t="shared" si="46"/>
        <v>5700</v>
      </c>
      <c r="O59" s="8"/>
    </row>
    <row r="60" spans="1:15" x14ac:dyDescent="0.25">
      <c r="A60" s="15" t="s">
        <v>129</v>
      </c>
      <c r="B60" s="29">
        <f>SUM(400*3)</f>
        <v>1200</v>
      </c>
      <c r="C60" s="29">
        <v>0</v>
      </c>
      <c r="D60" s="29">
        <v>0</v>
      </c>
      <c r="E60" s="29">
        <f>SUM(400*3)</f>
        <v>1200</v>
      </c>
      <c r="F60" s="29">
        <v>0</v>
      </c>
      <c r="G60" s="29">
        <v>0</v>
      </c>
      <c r="H60" s="29">
        <f>SUM(400*3)</f>
        <v>1200</v>
      </c>
      <c r="I60" s="29">
        <v>0</v>
      </c>
      <c r="J60" s="29">
        <v>0</v>
      </c>
      <c r="K60" s="29">
        <v>0</v>
      </c>
      <c r="L60" s="29">
        <f>SUM(200*3)</f>
        <v>600</v>
      </c>
      <c r="M60" s="29">
        <v>0</v>
      </c>
      <c r="N60" s="33">
        <f t="shared" si="46"/>
        <v>4200</v>
      </c>
      <c r="O60" s="8"/>
    </row>
    <row r="61" spans="1:15" x14ac:dyDescent="0.25">
      <c r="A61" s="8" t="s">
        <v>157</v>
      </c>
      <c r="B61" s="29">
        <v>0</v>
      </c>
      <c r="C61" s="29">
        <v>0</v>
      </c>
      <c r="D61" s="29">
        <v>0</v>
      </c>
      <c r="E61" s="29">
        <v>0</v>
      </c>
      <c r="F61" s="29">
        <f>SUM(1050*5.5)+(1050*3.25)</f>
        <v>9187.5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33">
        <f>SUM(B61:M61)</f>
        <v>9187.5</v>
      </c>
      <c r="O61" s="13"/>
    </row>
    <row r="62" spans="1:15" x14ac:dyDescent="0.25">
      <c r="A62" s="7" t="s">
        <v>22</v>
      </c>
      <c r="B62" s="29">
        <f>SUM(B56:B61)</f>
        <v>12575</v>
      </c>
      <c r="C62" s="29">
        <f t="shared" ref="C62:N62" si="51">SUM(C56:C61)</f>
        <v>10650</v>
      </c>
      <c r="D62" s="29">
        <f t="shared" si="51"/>
        <v>8850</v>
      </c>
      <c r="E62" s="29">
        <f t="shared" si="51"/>
        <v>10325</v>
      </c>
      <c r="F62" s="29">
        <f t="shared" si="51"/>
        <v>17712.5</v>
      </c>
      <c r="G62" s="29">
        <f t="shared" si="51"/>
        <v>10650</v>
      </c>
      <c r="H62" s="29">
        <f t="shared" si="51"/>
        <v>10325</v>
      </c>
      <c r="I62" s="29">
        <f t="shared" si="51"/>
        <v>4725</v>
      </c>
      <c r="J62" s="29">
        <f t="shared" si="51"/>
        <v>9825</v>
      </c>
      <c r="K62" s="29">
        <f t="shared" si="51"/>
        <v>4350</v>
      </c>
      <c r="L62" s="29">
        <f t="shared" si="51"/>
        <v>4087.5</v>
      </c>
      <c r="M62" s="29">
        <f t="shared" si="51"/>
        <v>9000</v>
      </c>
      <c r="N62" s="33">
        <f t="shared" si="51"/>
        <v>113075</v>
      </c>
      <c r="O62" s="13"/>
    </row>
    <row r="63" spans="1:15" x14ac:dyDescent="0.25">
      <c r="A63" s="7" t="s">
        <v>1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33"/>
      <c r="O63" s="13"/>
    </row>
    <row r="64" spans="1:15" x14ac:dyDescent="0.25">
      <c r="A64" s="7" t="s">
        <v>23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33"/>
      <c r="O64" s="13"/>
    </row>
    <row r="65" spans="1:15" x14ac:dyDescent="0.25">
      <c r="A65" s="8" t="s">
        <v>169</v>
      </c>
      <c r="B65" s="29">
        <f>SUM(3935/100*103)</f>
        <v>4053.05</v>
      </c>
      <c r="C65" s="29">
        <f t="shared" ref="C65:M65" si="52">SUM(3935/100*103)</f>
        <v>4053.05</v>
      </c>
      <c r="D65" s="29">
        <f t="shared" si="52"/>
        <v>4053.05</v>
      </c>
      <c r="E65" s="29">
        <f t="shared" si="52"/>
        <v>4053.05</v>
      </c>
      <c r="F65" s="29">
        <f t="shared" si="52"/>
        <v>4053.05</v>
      </c>
      <c r="G65" s="29">
        <f t="shared" si="52"/>
        <v>4053.05</v>
      </c>
      <c r="H65" s="29">
        <f t="shared" si="52"/>
        <v>4053.05</v>
      </c>
      <c r="I65" s="29">
        <f t="shared" si="52"/>
        <v>4053.05</v>
      </c>
      <c r="J65" s="29">
        <f t="shared" si="52"/>
        <v>4053.05</v>
      </c>
      <c r="K65" s="29">
        <f t="shared" si="52"/>
        <v>4053.05</v>
      </c>
      <c r="L65" s="29">
        <f t="shared" si="52"/>
        <v>4053.05</v>
      </c>
      <c r="M65" s="29">
        <f t="shared" si="52"/>
        <v>4053.05</v>
      </c>
      <c r="N65" s="33">
        <f>SUM(B65:M65)</f>
        <v>48636.600000000006</v>
      </c>
      <c r="O65" s="13"/>
    </row>
    <row r="66" spans="1:15" x14ac:dyDescent="0.25">
      <c r="A66" s="15" t="s">
        <v>130</v>
      </c>
      <c r="B66" s="29">
        <f>SUM(2*7*8.45)+ (11.2*4*3)+ (3*3*8.45)</f>
        <v>328.74999999999994</v>
      </c>
      <c r="C66" s="29">
        <f>SUM(4*3*8.45)</f>
        <v>101.39999999999999</v>
      </c>
      <c r="D66" s="29">
        <v>0</v>
      </c>
      <c r="E66" s="29">
        <v>0</v>
      </c>
      <c r="F66" s="29">
        <v>0</v>
      </c>
      <c r="G66" s="29">
        <v>253</v>
      </c>
      <c r="H66" s="29">
        <f>SUM(2*6*8.45)</f>
        <v>101.39999999999999</v>
      </c>
      <c r="I66" s="29">
        <f>SUM(2*3*8.45)</f>
        <v>50.699999999999996</v>
      </c>
      <c r="J66" s="29">
        <f>SUM(2*7*8.45)+ (11.2*4*3)</f>
        <v>252.69999999999996</v>
      </c>
      <c r="K66" s="29">
        <f>SUM(2*7*8.45)+ (11.2*4)</f>
        <v>163.09999999999997</v>
      </c>
      <c r="L66" s="29">
        <f>SUM(2*6*8.45)</f>
        <v>101.39999999999999</v>
      </c>
      <c r="M66" s="29">
        <f>SUM(2*3*8.45)</f>
        <v>50.699999999999996</v>
      </c>
      <c r="N66" s="33">
        <f t="shared" ref="N66:N72" si="53">SUM(B66:M66)</f>
        <v>1403.1499999999999</v>
      </c>
      <c r="O66" s="13"/>
    </row>
    <row r="67" spans="1:15" x14ac:dyDescent="0.25">
      <c r="A67" s="15" t="s">
        <v>30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2400</v>
      </c>
      <c r="N67" s="33">
        <f t="shared" si="53"/>
        <v>2400</v>
      </c>
      <c r="O67" s="13"/>
    </row>
    <row r="68" spans="1:15" x14ac:dyDescent="0.25">
      <c r="A68" s="15" t="s">
        <v>64</v>
      </c>
      <c r="B68" s="29">
        <v>150</v>
      </c>
      <c r="C68" s="29">
        <v>150</v>
      </c>
      <c r="D68" s="29">
        <v>150</v>
      </c>
      <c r="E68" s="29">
        <v>150</v>
      </c>
      <c r="F68" s="29">
        <v>150</v>
      </c>
      <c r="G68" s="29">
        <v>150</v>
      </c>
      <c r="H68" s="29">
        <v>150</v>
      </c>
      <c r="I68" s="29">
        <v>150</v>
      </c>
      <c r="J68" s="29">
        <v>150</v>
      </c>
      <c r="K68" s="29">
        <v>150</v>
      </c>
      <c r="L68" s="29">
        <v>150</v>
      </c>
      <c r="M68" s="29">
        <v>150</v>
      </c>
      <c r="N68" s="33">
        <f t="shared" si="53"/>
        <v>1800</v>
      </c>
      <c r="O68" s="13"/>
    </row>
    <row r="69" spans="1:15" x14ac:dyDescent="0.25">
      <c r="A69" s="15" t="s">
        <v>131</v>
      </c>
      <c r="B69" s="29">
        <f>SUM(275/100*103)</f>
        <v>283.25</v>
      </c>
      <c r="C69" s="29">
        <f t="shared" ref="C69:M69" si="54">SUM(275/100*103)</f>
        <v>283.25</v>
      </c>
      <c r="D69" s="29">
        <f t="shared" si="54"/>
        <v>283.25</v>
      </c>
      <c r="E69" s="29">
        <f t="shared" si="54"/>
        <v>283.25</v>
      </c>
      <c r="F69" s="29">
        <f t="shared" si="54"/>
        <v>283.25</v>
      </c>
      <c r="G69" s="29">
        <f t="shared" si="54"/>
        <v>283.25</v>
      </c>
      <c r="H69" s="29">
        <f t="shared" si="54"/>
        <v>283.25</v>
      </c>
      <c r="I69" s="29">
        <f t="shared" si="54"/>
        <v>283.25</v>
      </c>
      <c r="J69" s="29">
        <f t="shared" si="54"/>
        <v>283.25</v>
      </c>
      <c r="K69" s="29">
        <f t="shared" si="54"/>
        <v>283.25</v>
      </c>
      <c r="L69" s="29">
        <f t="shared" si="54"/>
        <v>283.25</v>
      </c>
      <c r="M69" s="29">
        <f t="shared" si="54"/>
        <v>283.25</v>
      </c>
      <c r="N69" s="33">
        <f t="shared" si="53"/>
        <v>3399</v>
      </c>
      <c r="O69" s="13"/>
    </row>
    <row r="70" spans="1:15" x14ac:dyDescent="0.25">
      <c r="A70" s="15" t="s">
        <v>32</v>
      </c>
      <c r="B70" s="29">
        <v>0</v>
      </c>
      <c r="C70" s="29">
        <v>0</v>
      </c>
      <c r="D70" s="29">
        <v>0</v>
      </c>
      <c r="E70" s="29">
        <f>SUM(227/100*103)</f>
        <v>233.81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33">
        <f t="shared" si="53"/>
        <v>233.81</v>
      </c>
      <c r="O70" s="13"/>
    </row>
    <row r="71" spans="1:15" x14ac:dyDescent="0.25">
      <c r="A71" s="15" t="s">
        <v>33</v>
      </c>
      <c r="B71" s="29">
        <v>0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33">
        <f t="shared" si="53"/>
        <v>0</v>
      </c>
      <c r="O71" s="13"/>
    </row>
    <row r="72" spans="1:15" x14ac:dyDescent="0.25">
      <c r="A72" s="15" t="s">
        <v>132</v>
      </c>
      <c r="B72" s="29">
        <f t="shared" ref="B72:D72" si="55">SUM(B62/100*40)</f>
        <v>5030</v>
      </c>
      <c r="C72" s="29">
        <f t="shared" si="55"/>
        <v>4260</v>
      </c>
      <c r="D72" s="29">
        <f t="shared" si="55"/>
        <v>3540</v>
      </c>
      <c r="E72" s="29">
        <f>SUM(E62/100*40)</f>
        <v>4130</v>
      </c>
      <c r="F72" s="29">
        <f t="shared" ref="F72:M72" si="56">SUM(F62/100*40)</f>
        <v>7085</v>
      </c>
      <c r="G72" s="29">
        <f t="shared" si="56"/>
        <v>4260</v>
      </c>
      <c r="H72" s="29">
        <f t="shared" si="56"/>
        <v>4130</v>
      </c>
      <c r="I72" s="29">
        <f t="shared" si="56"/>
        <v>1890</v>
      </c>
      <c r="J72" s="29">
        <f t="shared" si="56"/>
        <v>3930</v>
      </c>
      <c r="K72" s="29">
        <f t="shared" si="56"/>
        <v>1740</v>
      </c>
      <c r="L72" s="29">
        <f t="shared" si="56"/>
        <v>1635</v>
      </c>
      <c r="M72" s="29">
        <f t="shared" si="56"/>
        <v>3600</v>
      </c>
      <c r="N72" s="33">
        <f t="shared" si="53"/>
        <v>45230</v>
      </c>
      <c r="O72" s="13"/>
    </row>
    <row r="73" spans="1:15" x14ac:dyDescent="0.25">
      <c r="A73" s="7" t="s">
        <v>24</v>
      </c>
      <c r="B73" s="29">
        <f>SUM(B65:B72)</f>
        <v>9845.0499999999993</v>
      </c>
      <c r="C73" s="29">
        <f t="shared" ref="C73" si="57">SUM(C65:C72)</f>
        <v>8847.7000000000007</v>
      </c>
      <c r="D73" s="29">
        <f t="shared" ref="D73" si="58">SUM(D65:D72)</f>
        <v>8026.3</v>
      </c>
      <c r="E73" s="29">
        <f t="shared" ref="E73" si="59">SUM(E65:E72)</f>
        <v>8850.11</v>
      </c>
      <c r="F73" s="29">
        <f t="shared" ref="F73" si="60">SUM(F65:F72)</f>
        <v>11571.3</v>
      </c>
      <c r="G73" s="29">
        <f t="shared" ref="G73" si="61">SUM(G65:G72)</f>
        <v>8999.2999999999993</v>
      </c>
      <c r="H73" s="29">
        <f t="shared" ref="H73" si="62">SUM(H65:H72)</f>
        <v>8717.7000000000007</v>
      </c>
      <c r="I73" s="29">
        <f t="shared" ref="I73" si="63">SUM(I65:I72)</f>
        <v>6427</v>
      </c>
      <c r="J73" s="29">
        <f t="shared" ref="J73" si="64">SUM(J65:J72)</f>
        <v>8669</v>
      </c>
      <c r="K73" s="29">
        <f t="shared" ref="K73" si="65">SUM(K65:K72)</f>
        <v>6389.4000000000005</v>
      </c>
      <c r="L73" s="29">
        <f t="shared" ref="L73" si="66">SUM(L65:L72)</f>
        <v>6222.7</v>
      </c>
      <c r="M73" s="29">
        <f t="shared" ref="M73" si="67">SUM(M65:M72)</f>
        <v>10537</v>
      </c>
      <c r="N73" s="33">
        <f>SUM(N65:N72)</f>
        <v>103102.56</v>
      </c>
      <c r="O73" s="13"/>
    </row>
    <row r="74" spans="1:15" x14ac:dyDescent="0.25">
      <c r="A74" s="7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5"/>
      <c r="O74" s="13"/>
    </row>
    <row r="75" spans="1:15" x14ac:dyDescent="0.25">
      <c r="A75" s="7" t="s">
        <v>25</v>
      </c>
      <c r="B75" s="29">
        <f>$M$51</f>
        <v>4911.7619999999952</v>
      </c>
      <c r="C75" s="29">
        <f t="shared" ref="C75" si="68">SUM(B77)</f>
        <v>7641.7119999999959</v>
      </c>
      <c r="D75" s="29">
        <f t="shared" ref="D75" si="69">SUM(C77)</f>
        <v>9444.0119999999952</v>
      </c>
      <c r="E75" s="29">
        <f t="shared" ref="E75" si="70">SUM(D77)</f>
        <v>10267.711999999996</v>
      </c>
      <c r="F75" s="29">
        <f t="shared" ref="F75" si="71">SUM(E77)</f>
        <v>11742.601999999995</v>
      </c>
      <c r="G75" s="29">
        <f t="shared" ref="G75" si="72">SUM(F77)</f>
        <v>17883.801999999996</v>
      </c>
      <c r="H75" s="29">
        <f t="shared" ref="H75" si="73">SUM(G77)</f>
        <v>19534.501999999997</v>
      </c>
      <c r="I75" s="29">
        <f t="shared" ref="I75" si="74">SUM(H77)</f>
        <v>21141.801999999996</v>
      </c>
      <c r="J75" s="29">
        <f t="shared" ref="J75" si="75">SUM(I77)</f>
        <v>19439.801999999996</v>
      </c>
      <c r="K75" s="29">
        <f t="shared" ref="K75" si="76">SUM(J77)</f>
        <v>20595.801999999996</v>
      </c>
      <c r="L75" s="29">
        <f t="shared" ref="L75" si="77">SUM(K77)</f>
        <v>18556.401999999995</v>
      </c>
      <c r="M75" s="29">
        <f t="shared" ref="M75" si="78">SUM(L77)</f>
        <v>16421.201999999994</v>
      </c>
      <c r="N75" s="33"/>
      <c r="O75" s="13"/>
    </row>
    <row r="76" spans="1:15" x14ac:dyDescent="0.25">
      <c r="A76" s="7" t="s">
        <v>26</v>
      </c>
      <c r="B76" s="29">
        <f t="shared" ref="B76:M76" si="79">SUM(B62-B73)</f>
        <v>2729.9500000000007</v>
      </c>
      <c r="C76" s="29">
        <f t="shared" si="79"/>
        <v>1802.2999999999993</v>
      </c>
      <c r="D76" s="29">
        <f t="shared" si="79"/>
        <v>823.69999999999982</v>
      </c>
      <c r="E76" s="29">
        <f t="shared" si="79"/>
        <v>1474.8899999999994</v>
      </c>
      <c r="F76" s="29">
        <f t="shared" si="79"/>
        <v>6141.2000000000007</v>
      </c>
      <c r="G76" s="29">
        <f t="shared" si="79"/>
        <v>1650.7000000000007</v>
      </c>
      <c r="H76" s="29">
        <f t="shared" si="79"/>
        <v>1607.2999999999993</v>
      </c>
      <c r="I76" s="29">
        <f t="shared" si="79"/>
        <v>-1702</v>
      </c>
      <c r="J76" s="29">
        <f t="shared" si="79"/>
        <v>1156</v>
      </c>
      <c r="K76" s="29">
        <f t="shared" si="79"/>
        <v>-2039.4000000000005</v>
      </c>
      <c r="L76" s="29">
        <f t="shared" si="79"/>
        <v>-2135.1999999999998</v>
      </c>
      <c r="M76" s="29">
        <f t="shared" si="79"/>
        <v>-1537</v>
      </c>
      <c r="N76" s="34"/>
      <c r="O76" s="13"/>
    </row>
    <row r="77" spans="1:15" x14ac:dyDescent="0.25">
      <c r="A77" s="7" t="s">
        <v>27</v>
      </c>
      <c r="B77" s="29">
        <f>SUM(B75+B76)</f>
        <v>7641.7119999999959</v>
      </c>
      <c r="C77" s="29">
        <f t="shared" ref="C77:M77" si="80">SUM(C75+C76)</f>
        <v>9444.0119999999952</v>
      </c>
      <c r="D77" s="29">
        <f t="shared" si="80"/>
        <v>10267.711999999996</v>
      </c>
      <c r="E77" s="29">
        <f t="shared" si="80"/>
        <v>11742.601999999995</v>
      </c>
      <c r="F77" s="29">
        <f t="shared" si="80"/>
        <v>17883.801999999996</v>
      </c>
      <c r="G77" s="29">
        <f t="shared" si="80"/>
        <v>19534.501999999997</v>
      </c>
      <c r="H77" s="29">
        <f t="shared" si="80"/>
        <v>21141.801999999996</v>
      </c>
      <c r="I77" s="29">
        <f t="shared" si="80"/>
        <v>19439.801999999996</v>
      </c>
      <c r="J77" s="29">
        <f t="shared" si="80"/>
        <v>20595.801999999996</v>
      </c>
      <c r="K77" s="29">
        <f t="shared" si="80"/>
        <v>18556.401999999995</v>
      </c>
      <c r="L77" s="29">
        <f t="shared" si="80"/>
        <v>16421.201999999994</v>
      </c>
      <c r="M77" s="29">
        <f t="shared" si="80"/>
        <v>14884.201999999994</v>
      </c>
      <c r="N77" s="34"/>
      <c r="O77" s="13"/>
    </row>
    <row r="78" spans="1:15" x14ac:dyDescent="0.25">
      <c r="A78" s="7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5"/>
      <c r="O78" s="13"/>
    </row>
    <row r="79" spans="1:15" x14ac:dyDescent="0.25">
      <c r="A79" s="7" t="s">
        <v>156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x14ac:dyDescent="0.25">
      <c r="A80" s="7"/>
      <c r="B80" s="7" t="s">
        <v>4</v>
      </c>
      <c r="C80" s="7" t="s">
        <v>5</v>
      </c>
      <c r="D80" s="7" t="s">
        <v>6</v>
      </c>
      <c r="E80" s="7" t="s">
        <v>7</v>
      </c>
      <c r="F80" s="7" t="s">
        <v>8</v>
      </c>
      <c r="G80" s="7" t="s">
        <v>9</v>
      </c>
      <c r="H80" s="7" t="s">
        <v>10</v>
      </c>
      <c r="I80" s="7" t="s">
        <v>11</v>
      </c>
      <c r="J80" s="7" t="s">
        <v>12</v>
      </c>
      <c r="K80" s="7" t="s">
        <v>13</v>
      </c>
      <c r="L80" s="7" t="s">
        <v>14</v>
      </c>
      <c r="M80" s="7" t="s">
        <v>15</v>
      </c>
      <c r="N80" s="7" t="s">
        <v>3</v>
      </c>
      <c r="O80" s="13"/>
    </row>
    <row r="81" spans="1:15" x14ac:dyDescent="0.25">
      <c r="A81" s="9" t="s">
        <v>16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33"/>
      <c r="O81" s="8"/>
    </row>
    <row r="82" spans="1:15" x14ac:dyDescent="0.25">
      <c r="A82" s="8" t="s">
        <v>126</v>
      </c>
      <c r="B82" s="29">
        <f>SUM(31*50*5.75)</f>
        <v>8912.5</v>
      </c>
      <c r="C82" s="29">
        <f>SUM(30*50*5.75)</f>
        <v>8625</v>
      </c>
      <c r="D82" s="29">
        <f>SUM(30*50*5.75)</f>
        <v>8625</v>
      </c>
      <c r="E82" s="29">
        <f>SUM(31*50*5.75)</f>
        <v>8912.5</v>
      </c>
      <c r="F82" s="29">
        <f>SUM(31*50*5.75)</f>
        <v>8912.5</v>
      </c>
      <c r="G82" s="29">
        <f>SUM(30*50*5.75)</f>
        <v>8625</v>
      </c>
      <c r="H82" s="29">
        <f>SUM(31*50*5.75)</f>
        <v>8912.5</v>
      </c>
      <c r="I82" s="29">
        <f>SUM(30*25*5.75)</f>
        <v>4312.5</v>
      </c>
      <c r="J82" s="29">
        <f>SUM(21*50*5.75)</f>
        <v>6037.5</v>
      </c>
      <c r="K82" s="29">
        <f>SUM(24*25*5.75)</f>
        <v>3450</v>
      </c>
      <c r="L82" s="29">
        <f>SUM(21*25*5.75)</f>
        <v>3018.75</v>
      </c>
      <c r="M82" s="29">
        <f>SUM(30*40*5.75)</f>
        <v>6900</v>
      </c>
      <c r="N82" s="33">
        <f>SUM(B82:M82)</f>
        <v>85243.75</v>
      </c>
      <c r="O82" s="8"/>
    </row>
    <row r="83" spans="1:15" x14ac:dyDescent="0.25">
      <c r="A83" s="15" t="s">
        <v>56</v>
      </c>
      <c r="B83" s="29">
        <f>SUM(3*50*16)</f>
        <v>2400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f>SUM(3*50*16)</f>
        <v>2400</v>
      </c>
      <c r="K83" s="29">
        <f>SUM(50*16)</f>
        <v>800</v>
      </c>
      <c r="L83" s="29">
        <v>0</v>
      </c>
      <c r="M83" s="29">
        <v>0</v>
      </c>
      <c r="N83" s="33">
        <f>SUM(B83:M83)</f>
        <v>5600</v>
      </c>
      <c r="O83" s="8"/>
    </row>
    <row r="84" spans="1:15" x14ac:dyDescent="0.25">
      <c r="A84" s="15" t="s">
        <v>127</v>
      </c>
      <c r="B84" s="29">
        <v>0</v>
      </c>
      <c r="C84" s="29">
        <f>SUM(4*150*3.5)</f>
        <v>2100</v>
      </c>
      <c r="D84" s="29">
        <v>0</v>
      </c>
      <c r="E84" s="29">
        <v>0</v>
      </c>
      <c r="F84" s="29">
        <v>0</v>
      </c>
      <c r="G84" s="29">
        <f>SUM(4*150*3.5)</f>
        <v>2100</v>
      </c>
      <c r="H84" s="29">
        <v>0</v>
      </c>
      <c r="I84" s="29">
        <v>0</v>
      </c>
      <c r="J84" s="29">
        <f>SUM(4*150*3.5)</f>
        <v>2100</v>
      </c>
      <c r="K84" s="29">
        <v>0</v>
      </c>
      <c r="L84" s="29">
        <v>0</v>
      </c>
      <c r="M84" s="29">
        <f>SUM(4*150*3.5)</f>
        <v>2100</v>
      </c>
      <c r="N84" s="33">
        <f t="shared" ref="N84:N86" si="81">SUM(B84:M84)</f>
        <v>8400</v>
      </c>
      <c r="O84" s="8"/>
    </row>
    <row r="85" spans="1:15" x14ac:dyDescent="0.25">
      <c r="A85" s="15" t="s">
        <v>128</v>
      </c>
      <c r="B85" s="29">
        <f>SUM(2*100*3.5)</f>
        <v>700</v>
      </c>
      <c r="C85" s="29">
        <f>SUM(2*100*3.5)</f>
        <v>700</v>
      </c>
      <c r="D85" s="29">
        <f t="shared" ref="D85:E85" si="82">SUM(2*100*3.5)</f>
        <v>700</v>
      </c>
      <c r="E85" s="29">
        <f t="shared" si="82"/>
        <v>700</v>
      </c>
      <c r="F85" s="29">
        <v>0</v>
      </c>
      <c r="G85" s="29">
        <f t="shared" ref="G85:I85" si="83">SUM(2*100*3.5)</f>
        <v>700</v>
      </c>
      <c r="H85" s="29">
        <f t="shared" si="83"/>
        <v>700</v>
      </c>
      <c r="I85" s="29">
        <f t="shared" si="83"/>
        <v>700</v>
      </c>
      <c r="J85" s="29">
        <v>0</v>
      </c>
      <c r="K85" s="29">
        <f t="shared" ref="K85:M85" si="84">SUM(2*100*3.5)</f>
        <v>700</v>
      </c>
      <c r="L85" s="29">
        <f t="shared" si="84"/>
        <v>700</v>
      </c>
      <c r="M85" s="29">
        <f t="shared" si="84"/>
        <v>700</v>
      </c>
      <c r="N85" s="33">
        <f t="shared" si="81"/>
        <v>7000</v>
      </c>
      <c r="O85" s="8"/>
    </row>
    <row r="86" spans="1:15" x14ac:dyDescent="0.25">
      <c r="A86" s="15" t="s">
        <v>129</v>
      </c>
      <c r="B86" s="29">
        <f>SUM(400*3.5)</f>
        <v>1400</v>
      </c>
      <c r="C86" s="29">
        <v>0</v>
      </c>
      <c r="D86" s="29">
        <v>0</v>
      </c>
      <c r="E86" s="29">
        <f>SUM(400*3.5)</f>
        <v>1400</v>
      </c>
      <c r="F86" s="29">
        <v>0</v>
      </c>
      <c r="G86" s="29">
        <v>0</v>
      </c>
      <c r="H86" s="29">
        <f>SUM(400*3.5)</f>
        <v>1400</v>
      </c>
      <c r="I86" s="29">
        <v>0</v>
      </c>
      <c r="J86" s="29">
        <v>0</v>
      </c>
      <c r="K86" s="29">
        <v>0</v>
      </c>
      <c r="L86" s="29">
        <f>SUM(200*3.5)</f>
        <v>700</v>
      </c>
      <c r="M86" s="29">
        <v>0</v>
      </c>
      <c r="N86" s="33">
        <f t="shared" si="81"/>
        <v>4900</v>
      </c>
      <c r="O86" s="13"/>
    </row>
    <row r="87" spans="1:15" x14ac:dyDescent="0.25">
      <c r="A87" s="8" t="s">
        <v>157</v>
      </c>
      <c r="B87" s="29">
        <v>0</v>
      </c>
      <c r="C87" s="29">
        <v>0</v>
      </c>
      <c r="D87" s="29">
        <v>0</v>
      </c>
      <c r="E87" s="29">
        <v>0</v>
      </c>
      <c r="F87" s="29">
        <f>SUM(1050*5.75)+(1050*3.5)</f>
        <v>9712.5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33">
        <f>SUM(B87:M87)</f>
        <v>9712.5</v>
      </c>
      <c r="O87" s="13"/>
    </row>
    <row r="88" spans="1:15" x14ac:dyDescent="0.25">
      <c r="A88" s="7" t="s">
        <v>22</v>
      </c>
      <c r="B88" s="29">
        <f>SUM(B82:B87)</f>
        <v>13412.5</v>
      </c>
      <c r="C88" s="29">
        <f t="shared" ref="C88:N88" si="85">SUM(C82:C87)</f>
        <v>11425</v>
      </c>
      <c r="D88" s="29">
        <f t="shared" si="85"/>
        <v>9325</v>
      </c>
      <c r="E88" s="29">
        <f t="shared" si="85"/>
        <v>11012.5</v>
      </c>
      <c r="F88" s="29">
        <f t="shared" si="85"/>
        <v>18625</v>
      </c>
      <c r="G88" s="29">
        <f t="shared" si="85"/>
        <v>11425</v>
      </c>
      <c r="H88" s="29">
        <f t="shared" si="85"/>
        <v>11012.5</v>
      </c>
      <c r="I88" s="29">
        <f t="shared" si="85"/>
        <v>5012.5</v>
      </c>
      <c r="J88" s="29">
        <f t="shared" si="85"/>
        <v>10537.5</v>
      </c>
      <c r="K88" s="29">
        <f t="shared" si="85"/>
        <v>4950</v>
      </c>
      <c r="L88" s="29">
        <f t="shared" si="85"/>
        <v>4418.75</v>
      </c>
      <c r="M88" s="29">
        <f t="shared" si="85"/>
        <v>9700</v>
      </c>
      <c r="N88" s="33">
        <f t="shared" si="85"/>
        <v>120856.25</v>
      </c>
      <c r="O88" s="13"/>
    </row>
    <row r="89" spans="1:15" x14ac:dyDescent="0.25">
      <c r="A89" s="7" t="s">
        <v>1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33"/>
      <c r="O89" s="13"/>
    </row>
    <row r="90" spans="1:15" x14ac:dyDescent="0.25">
      <c r="A90" s="7" t="s">
        <v>23</v>
      </c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33"/>
      <c r="O90" s="13"/>
    </row>
    <row r="91" spans="1:15" x14ac:dyDescent="0.25">
      <c r="A91" s="8" t="s">
        <v>169</v>
      </c>
      <c r="B91" s="29">
        <f>SUM(3935/100*103)/100*103</f>
        <v>4174.6415000000006</v>
      </c>
      <c r="C91" s="29">
        <f t="shared" ref="C91:M91" si="86">SUM(3935/100*103)/100*103</f>
        <v>4174.6415000000006</v>
      </c>
      <c r="D91" s="29">
        <f t="shared" si="86"/>
        <v>4174.6415000000006</v>
      </c>
      <c r="E91" s="29">
        <f t="shared" si="86"/>
        <v>4174.6415000000006</v>
      </c>
      <c r="F91" s="29">
        <f t="shared" si="86"/>
        <v>4174.6415000000006</v>
      </c>
      <c r="G91" s="29">
        <f t="shared" si="86"/>
        <v>4174.6415000000006</v>
      </c>
      <c r="H91" s="29">
        <f t="shared" si="86"/>
        <v>4174.6415000000006</v>
      </c>
      <c r="I91" s="29">
        <f t="shared" si="86"/>
        <v>4174.6415000000006</v>
      </c>
      <c r="J91" s="29">
        <f t="shared" si="86"/>
        <v>4174.6415000000006</v>
      </c>
      <c r="K91" s="29">
        <f t="shared" si="86"/>
        <v>4174.6415000000006</v>
      </c>
      <c r="L91" s="29">
        <f t="shared" si="86"/>
        <v>4174.6415000000006</v>
      </c>
      <c r="M91" s="29">
        <f t="shared" si="86"/>
        <v>4174.6415000000006</v>
      </c>
      <c r="N91" s="33">
        <f>SUM(B91:M91)</f>
        <v>50095.697999999997</v>
      </c>
      <c r="O91" s="13"/>
    </row>
    <row r="92" spans="1:15" x14ac:dyDescent="0.25">
      <c r="A92" s="15" t="s">
        <v>130</v>
      </c>
      <c r="B92" s="29">
        <f>SUM(2*7*8.45)+ (11.2*4*3)+ (3*3*8.45)</f>
        <v>328.74999999999994</v>
      </c>
      <c r="C92" s="29">
        <f>SUM(4*3*8.45)</f>
        <v>101.39999999999999</v>
      </c>
      <c r="D92" s="29">
        <v>0</v>
      </c>
      <c r="E92" s="29">
        <v>0</v>
      </c>
      <c r="F92" s="29">
        <v>0</v>
      </c>
      <c r="G92" s="29">
        <v>253</v>
      </c>
      <c r="H92" s="29">
        <f>SUM(2*6*8.45)</f>
        <v>101.39999999999999</v>
      </c>
      <c r="I92" s="29">
        <f>SUM(2*3*8.45)</f>
        <v>50.699999999999996</v>
      </c>
      <c r="J92" s="29">
        <f>SUM(2*7*8.45)+ (11.2*4*3)</f>
        <v>252.69999999999996</v>
      </c>
      <c r="K92" s="29">
        <f>SUM(2*7*8.45)+ (11.2*4)</f>
        <v>163.09999999999997</v>
      </c>
      <c r="L92" s="29">
        <f>SUM(2*6*8.45)</f>
        <v>101.39999999999999</v>
      </c>
      <c r="M92" s="29">
        <f>SUM(2*3*8.45)</f>
        <v>50.699999999999996</v>
      </c>
      <c r="N92" s="33">
        <f t="shared" ref="N92:N98" si="87">SUM(B92:M92)</f>
        <v>1403.1499999999999</v>
      </c>
      <c r="O92" s="13"/>
    </row>
    <row r="93" spans="1:15" x14ac:dyDescent="0.25">
      <c r="A93" s="15" t="s">
        <v>30</v>
      </c>
      <c r="B93" s="29">
        <v>0</v>
      </c>
      <c r="C93" s="29">
        <v>0</v>
      </c>
      <c r="D93" s="29">
        <v>0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2400</v>
      </c>
      <c r="N93" s="33">
        <f t="shared" si="87"/>
        <v>2400</v>
      </c>
      <c r="O93" s="13"/>
    </row>
    <row r="94" spans="1:15" x14ac:dyDescent="0.25">
      <c r="A94" s="15" t="s">
        <v>64</v>
      </c>
      <c r="B94" s="29">
        <v>160</v>
      </c>
      <c r="C94" s="29">
        <v>160</v>
      </c>
      <c r="D94" s="29">
        <v>160</v>
      </c>
      <c r="E94" s="29">
        <v>160</v>
      </c>
      <c r="F94" s="29">
        <v>160</v>
      </c>
      <c r="G94" s="29">
        <v>160</v>
      </c>
      <c r="H94" s="29">
        <v>160</v>
      </c>
      <c r="I94" s="29">
        <v>160</v>
      </c>
      <c r="J94" s="29">
        <v>160</v>
      </c>
      <c r="K94" s="29">
        <v>160</v>
      </c>
      <c r="L94" s="29">
        <v>160</v>
      </c>
      <c r="M94" s="29">
        <v>160</v>
      </c>
      <c r="N94" s="33">
        <f t="shared" si="87"/>
        <v>1920</v>
      </c>
      <c r="O94" s="13"/>
    </row>
    <row r="95" spans="1:15" x14ac:dyDescent="0.25">
      <c r="A95" s="15" t="s">
        <v>131</v>
      </c>
      <c r="B95" s="29">
        <f>SUM(275/100*103)/100*103</f>
        <v>291.7475</v>
      </c>
      <c r="C95" s="29">
        <f t="shared" ref="C95:M95" si="88">SUM(275/100*103)/100*103</f>
        <v>291.7475</v>
      </c>
      <c r="D95" s="29">
        <f t="shared" si="88"/>
        <v>291.7475</v>
      </c>
      <c r="E95" s="29">
        <f t="shared" si="88"/>
        <v>291.7475</v>
      </c>
      <c r="F95" s="29">
        <f t="shared" si="88"/>
        <v>291.7475</v>
      </c>
      <c r="G95" s="29">
        <f t="shared" si="88"/>
        <v>291.7475</v>
      </c>
      <c r="H95" s="29">
        <f t="shared" si="88"/>
        <v>291.7475</v>
      </c>
      <c r="I95" s="29">
        <f t="shared" si="88"/>
        <v>291.7475</v>
      </c>
      <c r="J95" s="29">
        <f t="shared" si="88"/>
        <v>291.7475</v>
      </c>
      <c r="K95" s="29">
        <f t="shared" si="88"/>
        <v>291.7475</v>
      </c>
      <c r="L95" s="29">
        <f t="shared" si="88"/>
        <v>291.7475</v>
      </c>
      <c r="M95" s="29">
        <f t="shared" si="88"/>
        <v>291.7475</v>
      </c>
      <c r="N95" s="33">
        <f t="shared" si="87"/>
        <v>3500.97</v>
      </c>
      <c r="O95" s="13"/>
    </row>
    <row r="96" spans="1:15" x14ac:dyDescent="0.25">
      <c r="A96" s="15" t="s">
        <v>32</v>
      </c>
      <c r="B96" s="29">
        <v>0</v>
      </c>
      <c r="C96" s="29">
        <v>0</v>
      </c>
      <c r="D96" s="29">
        <v>0</v>
      </c>
      <c r="E96" s="29">
        <f>SUM(227/100*103)/100*103</f>
        <v>240.82429999999999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33">
        <f t="shared" si="87"/>
        <v>240.82429999999999</v>
      </c>
      <c r="O96" s="13"/>
    </row>
    <row r="97" spans="1:15" x14ac:dyDescent="0.25">
      <c r="A97" s="15" t="s">
        <v>33</v>
      </c>
      <c r="B97" s="29">
        <v>0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33">
        <f t="shared" si="87"/>
        <v>0</v>
      </c>
      <c r="O97" s="13"/>
    </row>
    <row r="98" spans="1:15" x14ac:dyDescent="0.25">
      <c r="A98" s="15" t="s">
        <v>132</v>
      </c>
      <c r="B98" s="29">
        <f t="shared" ref="B98:D98" si="89">SUM(B88/100*40)</f>
        <v>5365</v>
      </c>
      <c r="C98" s="29">
        <f t="shared" si="89"/>
        <v>4570</v>
      </c>
      <c r="D98" s="29">
        <f t="shared" si="89"/>
        <v>3730</v>
      </c>
      <c r="E98" s="29">
        <f>SUM(E88/100*40)</f>
        <v>4405</v>
      </c>
      <c r="F98" s="29">
        <f t="shared" ref="F98:M98" si="90">SUM(F88/100*40)</f>
        <v>7450</v>
      </c>
      <c r="G98" s="29">
        <f t="shared" si="90"/>
        <v>4570</v>
      </c>
      <c r="H98" s="29">
        <f t="shared" si="90"/>
        <v>4405</v>
      </c>
      <c r="I98" s="29">
        <f t="shared" si="90"/>
        <v>2005</v>
      </c>
      <c r="J98" s="29">
        <f t="shared" si="90"/>
        <v>4215</v>
      </c>
      <c r="K98" s="29">
        <f t="shared" si="90"/>
        <v>1980</v>
      </c>
      <c r="L98" s="29">
        <f t="shared" si="90"/>
        <v>1767.5</v>
      </c>
      <c r="M98" s="29">
        <f t="shared" si="90"/>
        <v>3880</v>
      </c>
      <c r="N98" s="33">
        <f t="shared" si="87"/>
        <v>48342.5</v>
      </c>
      <c r="O98" s="13"/>
    </row>
    <row r="99" spans="1:15" x14ac:dyDescent="0.25">
      <c r="A99" s="7" t="s">
        <v>24</v>
      </c>
      <c r="B99" s="29">
        <f>SUM(B91:B98)</f>
        <v>10320.139000000001</v>
      </c>
      <c r="C99" s="29">
        <f t="shared" ref="C99" si="91">SUM(C91:C98)</f>
        <v>9297.7890000000007</v>
      </c>
      <c r="D99" s="29">
        <f t="shared" ref="D99" si="92">SUM(D91:D98)</f>
        <v>8356.389000000001</v>
      </c>
      <c r="E99" s="29">
        <f t="shared" ref="E99" si="93">SUM(E91:E98)</f>
        <v>9272.2133000000013</v>
      </c>
      <c r="F99" s="29">
        <f t="shared" ref="F99" si="94">SUM(F91:F98)</f>
        <v>12076.389000000001</v>
      </c>
      <c r="G99" s="29">
        <f t="shared" ref="G99" si="95">SUM(G91:G98)</f>
        <v>9449.389000000001</v>
      </c>
      <c r="H99" s="29">
        <f t="shared" ref="H99" si="96">SUM(H91:H98)</f>
        <v>9132.7890000000007</v>
      </c>
      <c r="I99" s="29">
        <f t="shared" ref="I99" si="97">SUM(I91:I98)</f>
        <v>6682.0890000000009</v>
      </c>
      <c r="J99" s="29">
        <f t="shared" ref="J99" si="98">SUM(J91:J98)</f>
        <v>9094.0889999999999</v>
      </c>
      <c r="K99" s="29">
        <f t="shared" ref="K99" si="99">SUM(K91:K98)</f>
        <v>6769.4890000000014</v>
      </c>
      <c r="L99" s="29">
        <f t="shared" ref="L99" si="100">SUM(L91:L98)</f>
        <v>6495.2890000000007</v>
      </c>
      <c r="M99" s="29">
        <f t="shared" ref="M99" si="101">SUM(M91:M98)</f>
        <v>10957.089</v>
      </c>
      <c r="N99" s="33">
        <f>SUM(N91:N98)</f>
        <v>107903.14230000001</v>
      </c>
      <c r="O99" s="13"/>
    </row>
    <row r="100" spans="1:15" x14ac:dyDescent="0.25">
      <c r="A100" s="7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5"/>
      <c r="O100" s="13"/>
    </row>
    <row r="101" spans="1:15" x14ac:dyDescent="0.25">
      <c r="A101" s="7" t="s">
        <v>25</v>
      </c>
      <c r="B101" s="29">
        <f>$M$77</f>
        <v>14884.201999999994</v>
      </c>
      <c r="C101" s="29">
        <f t="shared" ref="C101" si="102">SUM(B103)</f>
        <v>17976.562999999995</v>
      </c>
      <c r="D101" s="29">
        <f t="shared" ref="D101" si="103">SUM(C103)</f>
        <v>20103.773999999994</v>
      </c>
      <c r="E101" s="29">
        <f t="shared" ref="E101" si="104">SUM(D103)</f>
        <v>21072.384999999995</v>
      </c>
      <c r="F101" s="29">
        <f t="shared" ref="F101" si="105">SUM(E103)</f>
        <v>22812.671699999992</v>
      </c>
      <c r="G101" s="29">
        <f t="shared" ref="G101" si="106">SUM(F103)</f>
        <v>29361.282699999989</v>
      </c>
      <c r="H101" s="29">
        <f t="shared" ref="H101" si="107">SUM(G103)</f>
        <v>31336.893699999986</v>
      </c>
      <c r="I101" s="29">
        <f t="shared" ref="I101" si="108">SUM(H103)</f>
        <v>33216.604699999982</v>
      </c>
      <c r="J101" s="29">
        <f t="shared" ref="J101" si="109">SUM(I103)</f>
        <v>31547.015699999982</v>
      </c>
      <c r="K101" s="29">
        <f t="shared" ref="K101" si="110">SUM(J103)</f>
        <v>32990.426699999982</v>
      </c>
      <c r="L101" s="29">
        <f t="shared" ref="L101" si="111">SUM(K103)</f>
        <v>31170.93769999998</v>
      </c>
      <c r="M101" s="29">
        <f t="shared" ref="M101" si="112">SUM(L103)</f>
        <v>29094.39869999998</v>
      </c>
      <c r="N101" s="33"/>
      <c r="O101" s="13"/>
    </row>
    <row r="102" spans="1:15" x14ac:dyDescent="0.25">
      <c r="A102" s="7" t="s">
        <v>26</v>
      </c>
      <c r="B102" s="29">
        <f t="shared" ref="B102:M102" si="113">SUM(B88-B99)</f>
        <v>3092.360999999999</v>
      </c>
      <c r="C102" s="29">
        <f t="shared" si="113"/>
        <v>2127.2109999999993</v>
      </c>
      <c r="D102" s="29">
        <f t="shared" si="113"/>
        <v>968.61099999999897</v>
      </c>
      <c r="E102" s="29">
        <f t="shared" si="113"/>
        <v>1740.2866999999987</v>
      </c>
      <c r="F102" s="29">
        <f t="shared" si="113"/>
        <v>6548.610999999999</v>
      </c>
      <c r="G102" s="29">
        <f t="shared" si="113"/>
        <v>1975.610999999999</v>
      </c>
      <c r="H102" s="29">
        <f t="shared" si="113"/>
        <v>1879.7109999999993</v>
      </c>
      <c r="I102" s="29">
        <f t="shared" si="113"/>
        <v>-1669.5890000000009</v>
      </c>
      <c r="J102" s="29">
        <f t="shared" si="113"/>
        <v>1443.4110000000001</v>
      </c>
      <c r="K102" s="29">
        <f t="shared" si="113"/>
        <v>-1819.4890000000014</v>
      </c>
      <c r="L102" s="29">
        <f t="shared" si="113"/>
        <v>-2076.5390000000007</v>
      </c>
      <c r="M102" s="29">
        <f t="shared" si="113"/>
        <v>-1257.0889999999999</v>
      </c>
      <c r="N102" s="34"/>
      <c r="O102" s="13"/>
    </row>
    <row r="103" spans="1:15" x14ac:dyDescent="0.25">
      <c r="A103" s="7" t="s">
        <v>27</v>
      </c>
      <c r="B103" s="29">
        <f>SUM(B101+B102)</f>
        <v>17976.562999999995</v>
      </c>
      <c r="C103" s="29">
        <f t="shared" ref="C103:M103" si="114">SUM(C101+C102)</f>
        <v>20103.773999999994</v>
      </c>
      <c r="D103" s="29">
        <f t="shared" si="114"/>
        <v>21072.384999999995</v>
      </c>
      <c r="E103" s="29">
        <f t="shared" si="114"/>
        <v>22812.671699999992</v>
      </c>
      <c r="F103" s="29">
        <f t="shared" si="114"/>
        <v>29361.282699999989</v>
      </c>
      <c r="G103" s="29">
        <f t="shared" si="114"/>
        <v>31336.893699999986</v>
      </c>
      <c r="H103" s="29">
        <f t="shared" si="114"/>
        <v>33216.604699999982</v>
      </c>
      <c r="I103" s="29">
        <f t="shared" si="114"/>
        <v>31547.015699999982</v>
      </c>
      <c r="J103" s="29">
        <f t="shared" si="114"/>
        <v>32990.426699999982</v>
      </c>
      <c r="K103" s="29">
        <f t="shared" si="114"/>
        <v>31170.93769999998</v>
      </c>
      <c r="L103" s="29">
        <f t="shared" si="114"/>
        <v>29094.39869999998</v>
      </c>
      <c r="M103" s="29">
        <f t="shared" si="114"/>
        <v>27837.30969999998</v>
      </c>
      <c r="N103" s="34"/>
      <c r="O103" s="13"/>
    </row>
    <row r="104" spans="1:15" x14ac:dyDescent="0.25">
      <c r="A104" s="7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5"/>
      <c r="O104" s="13"/>
    </row>
    <row r="105" spans="1:15" x14ac:dyDescent="0.25">
      <c r="A105" s="7" t="s">
        <v>193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13"/>
    </row>
    <row r="106" spans="1:15" x14ac:dyDescent="0.25">
      <c r="A106" s="7" t="s">
        <v>193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x14ac:dyDescent="0.25">
      <c r="A107" s="7"/>
      <c r="B107" s="7" t="s">
        <v>4</v>
      </c>
      <c r="C107" s="7" t="s">
        <v>5</v>
      </c>
      <c r="D107" s="7" t="s">
        <v>6</v>
      </c>
      <c r="E107" s="7" t="s">
        <v>7</v>
      </c>
      <c r="F107" s="7" t="s">
        <v>8</v>
      </c>
      <c r="G107" s="7" t="s">
        <v>9</v>
      </c>
      <c r="H107" s="7" t="s">
        <v>10</v>
      </c>
      <c r="I107" s="7" t="s">
        <v>11</v>
      </c>
      <c r="J107" s="7" t="s">
        <v>12</v>
      </c>
      <c r="K107" s="7" t="s">
        <v>13</v>
      </c>
      <c r="L107" s="7" t="s">
        <v>14</v>
      </c>
      <c r="M107" s="7" t="s">
        <v>15</v>
      </c>
      <c r="N107" s="7" t="s">
        <v>3</v>
      </c>
      <c r="O107" s="13"/>
    </row>
    <row r="108" spans="1:15" x14ac:dyDescent="0.25">
      <c r="A108" s="9" t="s">
        <v>16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33"/>
      <c r="O108" s="8"/>
    </row>
    <row r="109" spans="1:15" x14ac:dyDescent="0.25">
      <c r="A109" s="8" t="s">
        <v>126</v>
      </c>
      <c r="B109" s="29">
        <f>SUM(31*50*6)</f>
        <v>9300</v>
      </c>
      <c r="C109" s="29">
        <f>SUM(30*50*6)</f>
        <v>9000</v>
      </c>
      <c r="D109" s="29">
        <f>SUM(30*50*6)</f>
        <v>9000</v>
      </c>
      <c r="E109" s="29">
        <f>SUM(31*50*6)</f>
        <v>9300</v>
      </c>
      <c r="F109" s="29">
        <f>SUM(31*50*6)</f>
        <v>9300</v>
      </c>
      <c r="G109" s="29">
        <f>SUM(30*50*6)</f>
        <v>9000</v>
      </c>
      <c r="H109" s="29">
        <f>SUM(31*50*6)</f>
        <v>9300</v>
      </c>
      <c r="I109" s="29">
        <f>SUM(30*25*6)</f>
        <v>4500</v>
      </c>
      <c r="J109" s="29">
        <f>SUM(21*50*6)</f>
        <v>6300</v>
      </c>
      <c r="K109" s="29">
        <f>SUM(24*25*6)</f>
        <v>3600</v>
      </c>
      <c r="L109" s="29">
        <f>SUM(21*25*6)</f>
        <v>3150</v>
      </c>
      <c r="M109" s="29">
        <f>SUM(30*40*6)</f>
        <v>7200</v>
      </c>
      <c r="N109" s="33">
        <f>SUM(B109:M109)</f>
        <v>88950</v>
      </c>
      <c r="O109" s="8"/>
    </row>
    <row r="110" spans="1:15" x14ac:dyDescent="0.25">
      <c r="A110" s="15" t="s">
        <v>56</v>
      </c>
      <c r="B110" s="29">
        <f>SUM(3*50*16)</f>
        <v>2400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f>SUM(3*50*16)</f>
        <v>2400</v>
      </c>
      <c r="K110" s="29">
        <f>SUM(50*16)</f>
        <v>800</v>
      </c>
      <c r="L110" s="29">
        <v>0</v>
      </c>
      <c r="M110" s="29">
        <v>0</v>
      </c>
      <c r="N110" s="33">
        <f>SUM(B110:M110)</f>
        <v>5600</v>
      </c>
      <c r="O110" s="8"/>
    </row>
    <row r="111" spans="1:15" x14ac:dyDescent="0.25">
      <c r="A111" s="15" t="s">
        <v>127</v>
      </c>
      <c r="B111" s="29">
        <v>0</v>
      </c>
      <c r="C111" s="29">
        <f>SUM(4*150*3.75)</f>
        <v>2250</v>
      </c>
      <c r="D111" s="29">
        <v>0</v>
      </c>
      <c r="E111" s="29">
        <v>0</v>
      </c>
      <c r="F111" s="29">
        <v>0</v>
      </c>
      <c r="G111" s="29">
        <f>SUM(4*150*3.75)</f>
        <v>2250</v>
      </c>
      <c r="H111" s="29">
        <v>0</v>
      </c>
      <c r="I111" s="29">
        <v>0</v>
      </c>
      <c r="J111" s="29">
        <f>SUM(4*150*3.75)</f>
        <v>2250</v>
      </c>
      <c r="K111" s="29">
        <v>0</v>
      </c>
      <c r="L111" s="29">
        <v>0</v>
      </c>
      <c r="M111" s="29">
        <f>SUM(4*150*3.75)</f>
        <v>2250</v>
      </c>
      <c r="N111" s="33">
        <f t="shared" ref="N111:N113" si="115">SUM(B111:M111)</f>
        <v>9000</v>
      </c>
      <c r="O111" s="8"/>
    </row>
    <row r="112" spans="1:15" x14ac:dyDescent="0.25">
      <c r="A112" s="15" t="s">
        <v>128</v>
      </c>
      <c r="B112" s="29">
        <f>SUM(2*100*3.75)</f>
        <v>750</v>
      </c>
      <c r="C112" s="29">
        <f t="shared" ref="C112:E112" si="116">SUM(2*100*3.75)</f>
        <v>750</v>
      </c>
      <c r="D112" s="29">
        <f t="shared" si="116"/>
        <v>750</v>
      </c>
      <c r="E112" s="29">
        <f t="shared" si="116"/>
        <v>750</v>
      </c>
      <c r="F112" s="29">
        <v>0</v>
      </c>
      <c r="G112" s="29">
        <f t="shared" ref="G112:I112" si="117">SUM(2*100*3.75)</f>
        <v>750</v>
      </c>
      <c r="H112" s="29">
        <f t="shared" si="117"/>
        <v>750</v>
      </c>
      <c r="I112" s="29">
        <f t="shared" si="117"/>
        <v>750</v>
      </c>
      <c r="J112" s="29">
        <v>0</v>
      </c>
      <c r="K112" s="29">
        <f t="shared" ref="K112:M112" si="118">SUM(2*100*3.75)</f>
        <v>750</v>
      </c>
      <c r="L112" s="29">
        <f t="shared" si="118"/>
        <v>750</v>
      </c>
      <c r="M112" s="29">
        <f t="shared" si="118"/>
        <v>750</v>
      </c>
      <c r="N112" s="33">
        <f t="shared" si="115"/>
        <v>7500</v>
      </c>
      <c r="O112" s="8"/>
    </row>
    <row r="113" spans="1:15" x14ac:dyDescent="0.25">
      <c r="A113" s="15" t="s">
        <v>129</v>
      </c>
      <c r="B113" s="29">
        <f>SUM(500*3.5)</f>
        <v>1750</v>
      </c>
      <c r="C113" s="29">
        <v>0</v>
      </c>
      <c r="D113" s="29">
        <v>0</v>
      </c>
      <c r="E113" s="29">
        <f>SUM(500*3.5)</f>
        <v>1750</v>
      </c>
      <c r="F113" s="29">
        <v>0</v>
      </c>
      <c r="G113" s="29">
        <v>0</v>
      </c>
      <c r="H113" s="29">
        <f>SUM(500*3.5)</f>
        <v>1750</v>
      </c>
      <c r="I113" s="29">
        <v>0</v>
      </c>
      <c r="J113" s="29">
        <v>0</v>
      </c>
      <c r="K113" s="29">
        <v>0</v>
      </c>
      <c r="L113" s="29">
        <f>SUM(200*3.5)</f>
        <v>700</v>
      </c>
      <c r="M113" s="29">
        <v>0</v>
      </c>
      <c r="N113" s="33">
        <f t="shared" si="115"/>
        <v>5950</v>
      </c>
      <c r="O113" s="13"/>
    </row>
    <row r="114" spans="1:15" x14ac:dyDescent="0.25">
      <c r="A114" s="8" t="s">
        <v>157</v>
      </c>
      <c r="B114" s="29">
        <v>0</v>
      </c>
      <c r="C114" s="29">
        <v>0</v>
      </c>
      <c r="D114" s="29">
        <v>0</v>
      </c>
      <c r="E114" s="29">
        <v>0</v>
      </c>
      <c r="F114" s="29">
        <f>SUM(1050*6)+(1050*3.75)</f>
        <v>10237.5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33">
        <f>SUM(B114:M114)</f>
        <v>10237.5</v>
      </c>
      <c r="O114" s="13"/>
    </row>
    <row r="115" spans="1:15" x14ac:dyDescent="0.25">
      <c r="A115" s="7" t="s">
        <v>22</v>
      </c>
      <c r="B115" s="29">
        <f>SUM(B109:B114)</f>
        <v>14200</v>
      </c>
      <c r="C115" s="29">
        <f t="shared" ref="C115:N115" si="119">SUM(C109:C114)</f>
        <v>12000</v>
      </c>
      <c r="D115" s="29">
        <f t="shared" si="119"/>
        <v>9750</v>
      </c>
      <c r="E115" s="29">
        <f t="shared" si="119"/>
        <v>11800</v>
      </c>
      <c r="F115" s="29">
        <f t="shared" si="119"/>
        <v>19537.5</v>
      </c>
      <c r="G115" s="29">
        <f t="shared" si="119"/>
        <v>12000</v>
      </c>
      <c r="H115" s="29">
        <f t="shared" si="119"/>
        <v>11800</v>
      </c>
      <c r="I115" s="29">
        <f t="shared" si="119"/>
        <v>5250</v>
      </c>
      <c r="J115" s="29">
        <f t="shared" si="119"/>
        <v>10950</v>
      </c>
      <c r="K115" s="29">
        <f t="shared" si="119"/>
        <v>5150</v>
      </c>
      <c r="L115" s="29">
        <f t="shared" si="119"/>
        <v>4600</v>
      </c>
      <c r="M115" s="29">
        <f t="shared" si="119"/>
        <v>10200</v>
      </c>
      <c r="N115" s="33">
        <f t="shared" si="119"/>
        <v>127237.5</v>
      </c>
      <c r="O115" s="13"/>
    </row>
    <row r="116" spans="1:15" x14ac:dyDescent="0.25">
      <c r="A116" s="7" t="s">
        <v>1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33"/>
      <c r="O116" s="13"/>
    </row>
    <row r="117" spans="1:15" x14ac:dyDescent="0.25">
      <c r="A117" s="7" t="s">
        <v>23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33"/>
      <c r="O117" s="13"/>
    </row>
    <row r="118" spans="1:15" x14ac:dyDescent="0.25">
      <c r="A118" s="8" t="s">
        <v>169</v>
      </c>
      <c r="B118" s="29">
        <f>SUM(4175/100*103)</f>
        <v>4300.25</v>
      </c>
      <c r="C118" s="29">
        <f t="shared" ref="C118:M118" si="120">SUM(4175/100*103)</f>
        <v>4300.25</v>
      </c>
      <c r="D118" s="29">
        <f t="shared" si="120"/>
        <v>4300.25</v>
      </c>
      <c r="E118" s="29">
        <f t="shared" si="120"/>
        <v>4300.25</v>
      </c>
      <c r="F118" s="29">
        <f t="shared" si="120"/>
        <v>4300.25</v>
      </c>
      <c r="G118" s="29">
        <f t="shared" si="120"/>
        <v>4300.25</v>
      </c>
      <c r="H118" s="29">
        <f t="shared" si="120"/>
        <v>4300.25</v>
      </c>
      <c r="I118" s="29">
        <f t="shared" si="120"/>
        <v>4300.25</v>
      </c>
      <c r="J118" s="29">
        <f t="shared" si="120"/>
        <v>4300.25</v>
      </c>
      <c r="K118" s="29">
        <f t="shared" si="120"/>
        <v>4300.25</v>
      </c>
      <c r="L118" s="29">
        <f t="shared" si="120"/>
        <v>4300.25</v>
      </c>
      <c r="M118" s="29">
        <f t="shared" si="120"/>
        <v>4300.25</v>
      </c>
      <c r="N118" s="33">
        <f>SUM(B118:M118)</f>
        <v>51603</v>
      </c>
      <c r="O118" s="13"/>
    </row>
    <row r="119" spans="1:15" x14ac:dyDescent="0.25">
      <c r="A119" s="15" t="s">
        <v>130</v>
      </c>
      <c r="B119" s="29">
        <f>SUM((2*7*8.45)+ (11.2*4*3)+ (3*3*8.45))/100*103</f>
        <v>338.61249999999995</v>
      </c>
      <c r="C119" s="29">
        <f>SUM(4*3*8.45)/100*103</f>
        <v>104.44200000000001</v>
      </c>
      <c r="D119" s="29">
        <v>0</v>
      </c>
      <c r="E119" s="29">
        <v>0</v>
      </c>
      <c r="F119" s="29">
        <v>0</v>
      </c>
      <c r="G119" s="29">
        <f>SUM(253/100*103)</f>
        <v>260.58999999999997</v>
      </c>
      <c r="H119" s="29">
        <f>SUM(4*3*8.45)/100*103</f>
        <v>104.44200000000001</v>
      </c>
      <c r="I119" s="29">
        <f>SUM(2*3*8.45)/100*103</f>
        <v>52.221000000000004</v>
      </c>
      <c r="J119" s="29">
        <f>SUM((2*7*8.45)+ (11.2*4*3))/100*103</f>
        <v>260.28099999999995</v>
      </c>
      <c r="K119" s="29">
        <f>SUM((2*7*8.45)+ (11.2*4))/100*103</f>
        <v>167.99299999999997</v>
      </c>
      <c r="L119" s="29">
        <f>SUM(4*3*8.45)/100*103</f>
        <v>104.44200000000001</v>
      </c>
      <c r="M119" s="29">
        <f>SUM(2*3*8.45)/100*103</f>
        <v>52.221000000000004</v>
      </c>
      <c r="N119" s="33">
        <f t="shared" ref="N119:N125" si="121">SUM(B119:M119)</f>
        <v>1445.2444999999998</v>
      </c>
      <c r="O119" s="13"/>
    </row>
    <row r="120" spans="1:15" x14ac:dyDescent="0.25">
      <c r="A120" s="15" t="s">
        <v>30</v>
      </c>
      <c r="B120" s="29">
        <v>0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2500</v>
      </c>
      <c r="N120" s="33">
        <f t="shared" si="121"/>
        <v>2500</v>
      </c>
      <c r="O120" s="13"/>
    </row>
    <row r="121" spans="1:15" x14ac:dyDescent="0.25">
      <c r="A121" s="15" t="s">
        <v>64</v>
      </c>
      <c r="B121" s="29">
        <f>SUM(160/100*103)</f>
        <v>164.8</v>
      </c>
      <c r="C121" s="29">
        <f t="shared" ref="C121:M121" si="122">SUM(160/100*103)</f>
        <v>164.8</v>
      </c>
      <c r="D121" s="29">
        <f t="shared" si="122"/>
        <v>164.8</v>
      </c>
      <c r="E121" s="29">
        <f t="shared" si="122"/>
        <v>164.8</v>
      </c>
      <c r="F121" s="29">
        <f t="shared" si="122"/>
        <v>164.8</v>
      </c>
      <c r="G121" s="29">
        <f t="shared" si="122"/>
        <v>164.8</v>
      </c>
      <c r="H121" s="29">
        <f t="shared" si="122"/>
        <v>164.8</v>
      </c>
      <c r="I121" s="29">
        <f t="shared" si="122"/>
        <v>164.8</v>
      </c>
      <c r="J121" s="29">
        <f t="shared" si="122"/>
        <v>164.8</v>
      </c>
      <c r="K121" s="29">
        <f t="shared" si="122"/>
        <v>164.8</v>
      </c>
      <c r="L121" s="29">
        <f t="shared" si="122"/>
        <v>164.8</v>
      </c>
      <c r="M121" s="29">
        <f t="shared" si="122"/>
        <v>164.8</v>
      </c>
      <c r="N121" s="33">
        <f t="shared" si="121"/>
        <v>1977.5999999999997</v>
      </c>
      <c r="O121" s="13"/>
    </row>
    <row r="122" spans="1:15" x14ac:dyDescent="0.25">
      <c r="A122" s="15" t="s">
        <v>131</v>
      </c>
      <c r="B122" s="29">
        <f>SUM(292/100*103)</f>
        <v>300.76</v>
      </c>
      <c r="C122" s="29">
        <f t="shared" ref="C122:M122" si="123">SUM(292/100*103)</f>
        <v>300.76</v>
      </c>
      <c r="D122" s="29">
        <f t="shared" si="123"/>
        <v>300.76</v>
      </c>
      <c r="E122" s="29">
        <f t="shared" si="123"/>
        <v>300.76</v>
      </c>
      <c r="F122" s="29">
        <f t="shared" si="123"/>
        <v>300.76</v>
      </c>
      <c r="G122" s="29">
        <f t="shared" si="123"/>
        <v>300.76</v>
      </c>
      <c r="H122" s="29">
        <f t="shared" si="123"/>
        <v>300.76</v>
      </c>
      <c r="I122" s="29">
        <f t="shared" si="123"/>
        <v>300.76</v>
      </c>
      <c r="J122" s="29">
        <f t="shared" si="123"/>
        <v>300.76</v>
      </c>
      <c r="K122" s="29">
        <f t="shared" si="123"/>
        <v>300.76</v>
      </c>
      <c r="L122" s="29">
        <f t="shared" si="123"/>
        <v>300.76</v>
      </c>
      <c r="M122" s="29">
        <f t="shared" si="123"/>
        <v>300.76</v>
      </c>
      <c r="N122" s="33">
        <f t="shared" si="121"/>
        <v>3609.1200000000008</v>
      </c>
      <c r="O122" s="13"/>
    </row>
    <row r="123" spans="1:15" x14ac:dyDescent="0.25">
      <c r="A123" s="15" t="s">
        <v>32</v>
      </c>
      <c r="B123" s="29">
        <v>0</v>
      </c>
      <c r="C123" s="29">
        <v>0</v>
      </c>
      <c r="D123" s="29">
        <v>0</v>
      </c>
      <c r="E123" s="29">
        <f>SUM(241/100*103)</f>
        <v>248.23000000000002</v>
      </c>
      <c r="F123" s="29">
        <v>0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33">
        <f t="shared" si="121"/>
        <v>248.23000000000002</v>
      </c>
      <c r="O123" s="13"/>
    </row>
    <row r="124" spans="1:15" x14ac:dyDescent="0.25">
      <c r="A124" s="15" t="s">
        <v>33</v>
      </c>
      <c r="B124" s="29">
        <v>0</v>
      </c>
      <c r="C124" s="29">
        <v>0</v>
      </c>
      <c r="D124" s="29">
        <v>0</v>
      </c>
      <c r="E124" s="29">
        <v>0</v>
      </c>
      <c r="F124" s="29">
        <v>0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33">
        <f t="shared" si="121"/>
        <v>0</v>
      </c>
      <c r="O124" s="13"/>
    </row>
    <row r="125" spans="1:15" x14ac:dyDescent="0.25">
      <c r="A125" s="15" t="s">
        <v>132</v>
      </c>
      <c r="B125" s="29">
        <f t="shared" ref="B125:D125" si="124">SUM(B115/100*40)</f>
        <v>5680</v>
      </c>
      <c r="C125" s="29">
        <f t="shared" si="124"/>
        <v>4800</v>
      </c>
      <c r="D125" s="29">
        <f t="shared" si="124"/>
        <v>3900</v>
      </c>
      <c r="E125" s="29">
        <f>SUM(E115/100*40)</f>
        <v>4720</v>
      </c>
      <c r="F125" s="29">
        <f t="shared" ref="F125:M125" si="125">SUM(F115/100*40)</f>
        <v>7815</v>
      </c>
      <c r="G125" s="29">
        <f t="shared" si="125"/>
        <v>4800</v>
      </c>
      <c r="H125" s="29">
        <f t="shared" si="125"/>
        <v>4720</v>
      </c>
      <c r="I125" s="29">
        <f t="shared" si="125"/>
        <v>2100</v>
      </c>
      <c r="J125" s="29">
        <f t="shared" si="125"/>
        <v>4380</v>
      </c>
      <c r="K125" s="29">
        <f t="shared" si="125"/>
        <v>2060</v>
      </c>
      <c r="L125" s="29">
        <f t="shared" si="125"/>
        <v>1840</v>
      </c>
      <c r="M125" s="29">
        <f t="shared" si="125"/>
        <v>4080</v>
      </c>
      <c r="N125" s="33">
        <f t="shared" si="121"/>
        <v>50895</v>
      </c>
      <c r="O125" s="13"/>
    </row>
    <row r="126" spans="1:15" x14ac:dyDescent="0.25">
      <c r="A126" s="7" t="s">
        <v>24</v>
      </c>
      <c r="B126" s="29">
        <f>SUM(B118:B125)</f>
        <v>10784.422500000001</v>
      </c>
      <c r="C126" s="29">
        <f t="shared" ref="C126" si="126">SUM(C118:C125)</f>
        <v>9670.2520000000004</v>
      </c>
      <c r="D126" s="29">
        <f t="shared" ref="D126" si="127">SUM(D118:D125)</f>
        <v>8665.8100000000013</v>
      </c>
      <c r="E126" s="29">
        <f t="shared" ref="E126" si="128">SUM(E118:E125)</f>
        <v>9734.0400000000009</v>
      </c>
      <c r="F126" s="29">
        <f t="shared" ref="F126" si="129">SUM(F118:F125)</f>
        <v>12580.810000000001</v>
      </c>
      <c r="G126" s="29">
        <f t="shared" ref="G126" si="130">SUM(G118:G125)</f>
        <v>9826.4000000000015</v>
      </c>
      <c r="H126" s="29">
        <f t="shared" ref="H126" si="131">SUM(H118:H125)</f>
        <v>9590.2520000000004</v>
      </c>
      <c r="I126" s="29">
        <f t="shared" ref="I126" si="132">SUM(I118:I125)</f>
        <v>6918.0309999999999</v>
      </c>
      <c r="J126" s="29">
        <f t="shared" ref="J126" si="133">SUM(J118:J125)</f>
        <v>9406.0910000000003</v>
      </c>
      <c r="K126" s="29">
        <f t="shared" ref="K126" si="134">SUM(K118:K125)</f>
        <v>6993.8030000000008</v>
      </c>
      <c r="L126" s="29">
        <f t="shared" ref="L126" si="135">SUM(L118:L125)</f>
        <v>6710.2520000000004</v>
      </c>
      <c r="M126" s="29">
        <f t="shared" ref="M126" si="136">SUM(M118:M125)</f>
        <v>11398.030999999999</v>
      </c>
      <c r="N126" s="33">
        <f>SUM(N118:N125)</f>
        <v>112278.19450000001</v>
      </c>
      <c r="O126" s="13"/>
    </row>
    <row r="127" spans="1:15" x14ac:dyDescent="0.25">
      <c r="A127" s="7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5"/>
      <c r="O127" s="13"/>
    </row>
    <row r="128" spans="1:15" x14ac:dyDescent="0.25">
      <c r="A128" s="7" t="s">
        <v>25</v>
      </c>
      <c r="B128" s="29">
        <f>$M$103</f>
        <v>27837.30969999998</v>
      </c>
      <c r="C128" s="29">
        <f t="shared" ref="C128" si="137">SUM(B130)</f>
        <v>31252.887199999979</v>
      </c>
      <c r="D128" s="29">
        <f t="shared" ref="D128" si="138">SUM(C130)</f>
        <v>33582.635199999975</v>
      </c>
      <c r="E128" s="29">
        <f t="shared" ref="E128" si="139">SUM(D130)</f>
        <v>34666.825199999977</v>
      </c>
      <c r="F128" s="29">
        <f t="shared" ref="F128" si="140">SUM(E130)</f>
        <v>36732.785199999977</v>
      </c>
      <c r="G128" s="29">
        <f t="shared" ref="G128" si="141">SUM(F130)</f>
        <v>43689.475199999972</v>
      </c>
      <c r="H128" s="29">
        <f t="shared" ref="H128" si="142">SUM(G130)</f>
        <v>45863.07519999997</v>
      </c>
      <c r="I128" s="29">
        <f t="shared" ref="I128" si="143">SUM(H130)</f>
        <v>48072.82319999997</v>
      </c>
      <c r="J128" s="29">
        <f t="shared" ref="J128" si="144">SUM(I130)</f>
        <v>46404.792199999967</v>
      </c>
      <c r="K128" s="29">
        <f t="shared" ref="K128" si="145">SUM(J130)</f>
        <v>47948.701199999967</v>
      </c>
      <c r="L128" s="29">
        <f t="shared" ref="L128" si="146">SUM(K130)</f>
        <v>46104.898199999967</v>
      </c>
      <c r="M128" s="29">
        <f t="shared" ref="M128" si="147">SUM(L130)</f>
        <v>43994.646199999966</v>
      </c>
      <c r="N128" s="33"/>
      <c r="O128" s="13"/>
    </row>
    <row r="129" spans="1:15" x14ac:dyDescent="0.25">
      <c r="A129" s="7" t="s">
        <v>26</v>
      </c>
      <c r="B129" s="29">
        <f t="shared" ref="B129:M129" si="148">SUM(B115-B126)</f>
        <v>3415.5774999999994</v>
      </c>
      <c r="C129" s="29">
        <f t="shared" si="148"/>
        <v>2329.7479999999996</v>
      </c>
      <c r="D129" s="29">
        <f t="shared" si="148"/>
        <v>1084.1899999999987</v>
      </c>
      <c r="E129" s="29">
        <f t="shared" si="148"/>
        <v>2065.9599999999991</v>
      </c>
      <c r="F129" s="29">
        <f t="shared" si="148"/>
        <v>6956.6899999999987</v>
      </c>
      <c r="G129" s="29">
        <f t="shared" si="148"/>
        <v>2173.5999999999985</v>
      </c>
      <c r="H129" s="29">
        <f t="shared" si="148"/>
        <v>2209.7479999999996</v>
      </c>
      <c r="I129" s="29">
        <f t="shared" si="148"/>
        <v>-1668.0309999999999</v>
      </c>
      <c r="J129" s="29">
        <f t="shared" si="148"/>
        <v>1543.9089999999997</v>
      </c>
      <c r="K129" s="29">
        <f t="shared" si="148"/>
        <v>-1843.8030000000008</v>
      </c>
      <c r="L129" s="29">
        <f t="shared" si="148"/>
        <v>-2110.2520000000004</v>
      </c>
      <c r="M129" s="29">
        <f t="shared" si="148"/>
        <v>-1198.030999999999</v>
      </c>
      <c r="N129" s="34"/>
      <c r="O129" s="13"/>
    </row>
    <row r="130" spans="1:15" x14ac:dyDescent="0.25">
      <c r="A130" s="7" t="s">
        <v>27</v>
      </c>
      <c r="B130" s="29">
        <f>SUM(B128+B129)</f>
        <v>31252.887199999979</v>
      </c>
      <c r="C130" s="29">
        <f t="shared" ref="C130:M130" si="149">SUM(C128+C129)</f>
        <v>33582.635199999975</v>
      </c>
      <c r="D130" s="29">
        <f t="shared" si="149"/>
        <v>34666.825199999977</v>
      </c>
      <c r="E130" s="29">
        <f t="shared" si="149"/>
        <v>36732.785199999977</v>
      </c>
      <c r="F130" s="29">
        <f t="shared" si="149"/>
        <v>43689.475199999972</v>
      </c>
      <c r="G130" s="29">
        <f t="shared" si="149"/>
        <v>45863.07519999997</v>
      </c>
      <c r="H130" s="29">
        <f t="shared" si="149"/>
        <v>48072.82319999997</v>
      </c>
      <c r="I130" s="29">
        <f t="shared" si="149"/>
        <v>46404.792199999967</v>
      </c>
      <c r="J130" s="29">
        <f t="shared" si="149"/>
        <v>47948.701199999967</v>
      </c>
      <c r="K130" s="29">
        <f t="shared" si="149"/>
        <v>46104.898199999967</v>
      </c>
      <c r="L130" s="29">
        <f t="shared" si="149"/>
        <v>43994.646199999966</v>
      </c>
      <c r="M130" s="29">
        <f t="shared" si="149"/>
        <v>42796.615199999971</v>
      </c>
      <c r="N130" s="34"/>
      <c r="O130" s="13"/>
    </row>
    <row r="131" spans="1:15" x14ac:dyDescent="0.25">
      <c r="A131" s="7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5"/>
      <c r="O131" s="13"/>
    </row>
    <row r="132" spans="1:15" x14ac:dyDescent="0.25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13"/>
    </row>
    <row r="133" spans="1:15" x14ac:dyDescent="0.25">
      <c r="A133" s="7" t="s">
        <v>196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x14ac:dyDescent="0.25">
      <c r="A134" s="7"/>
      <c r="B134" s="7" t="s">
        <v>4</v>
      </c>
      <c r="C134" s="7" t="s">
        <v>5</v>
      </c>
      <c r="D134" s="7" t="s">
        <v>6</v>
      </c>
      <c r="E134" s="7" t="s">
        <v>7</v>
      </c>
      <c r="F134" s="7" t="s">
        <v>8</v>
      </c>
      <c r="G134" s="7" t="s">
        <v>9</v>
      </c>
      <c r="H134" s="7" t="s">
        <v>10</v>
      </c>
      <c r="I134" s="7" t="s">
        <v>11</v>
      </c>
      <c r="J134" s="7" t="s">
        <v>12</v>
      </c>
      <c r="K134" s="7" t="s">
        <v>13</v>
      </c>
      <c r="L134" s="7" t="s">
        <v>14</v>
      </c>
      <c r="M134" s="7" t="s">
        <v>15</v>
      </c>
      <c r="N134" s="7" t="s">
        <v>3</v>
      </c>
      <c r="O134" s="13"/>
    </row>
    <row r="135" spans="1:15" x14ac:dyDescent="0.25">
      <c r="A135" s="9" t="s">
        <v>16</v>
      </c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33"/>
      <c r="O135" s="8"/>
    </row>
    <row r="136" spans="1:15" x14ac:dyDescent="0.25">
      <c r="A136" s="8" t="s">
        <v>126</v>
      </c>
      <c r="B136" s="29">
        <f>SUM(31*50*6.25)</f>
        <v>9687.5</v>
      </c>
      <c r="C136" s="29">
        <f>SUM(30*50*6.25)</f>
        <v>9375</v>
      </c>
      <c r="D136" s="29">
        <f>SUM(30*50*6.25)</f>
        <v>9375</v>
      </c>
      <c r="E136" s="29">
        <f>SUM(31*50*6.25)</f>
        <v>9687.5</v>
      </c>
      <c r="F136" s="29">
        <f>SUM(31*50*6.25)</f>
        <v>9687.5</v>
      </c>
      <c r="G136" s="29">
        <f>SUM(30*50*6.25)</f>
        <v>9375</v>
      </c>
      <c r="H136" s="29">
        <f>SUM(31*50*6.25)</f>
        <v>9687.5</v>
      </c>
      <c r="I136" s="29">
        <f>SUM(30*25*6.25)</f>
        <v>4687.5</v>
      </c>
      <c r="J136" s="29">
        <f>SUM(31*50*6.25)</f>
        <v>9687.5</v>
      </c>
      <c r="K136" s="29">
        <f>SUM(24*25*6.25)</f>
        <v>3750</v>
      </c>
      <c r="L136" s="29">
        <f>SUM(21*25*6.25)</f>
        <v>3281.25</v>
      </c>
      <c r="M136" s="29">
        <f>SUM(30*40*6.25)</f>
        <v>7500</v>
      </c>
      <c r="N136" s="33">
        <f>SUM(B136:M136)</f>
        <v>95781.25</v>
      </c>
      <c r="O136" s="8"/>
    </row>
    <row r="137" spans="1:15" x14ac:dyDescent="0.25">
      <c r="A137" s="15" t="s">
        <v>56</v>
      </c>
      <c r="B137" s="29">
        <f>SUM(3*50*16)</f>
        <v>2400</v>
      </c>
      <c r="C137" s="29">
        <v>0</v>
      </c>
      <c r="D137" s="29">
        <v>0</v>
      </c>
      <c r="E137" s="29">
        <v>0</v>
      </c>
      <c r="F137" s="29">
        <v>0</v>
      </c>
      <c r="G137" s="29">
        <v>0</v>
      </c>
      <c r="H137" s="29">
        <v>0</v>
      </c>
      <c r="I137" s="29">
        <v>0</v>
      </c>
      <c r="J137" s="29">
        <f>SUM(3*50*16)</f>
        <v>2400</v>
      </c>
      <c r="K137" s="29">
        <f>SUM(50*16)</f>
        <v>800</v>
      </c>
      <c r="L137" s="29">
        <v>0</v>
      </c>
      <c r="M137" s="29">
        <v>0</v>
      </c>
      <c r="N137" s="33">
        <f>SUM(B137:M137)</f>
        <v>5600</v>
      </c>
      <c r="O137" s="8"/>
    </row>
    <row r="138" spans="1:15" x14ac:dyDescent="0.25">
      <c r="A138" s="15" t="s">
        <v>127</v>
      </c>
      <c r="B138" s="29">
        <v>0</v>
      </c>
      <c r="C138" s="29">
        <f>SUM(4*150*3.75)</f>
        <v>2250</v>
      </c>
      <c r="D138" s="29">
        <v>0</v>
      </c>
      <c r="E138" s="29">
        <v>0</v>
      </c>
      <c r="F138" s="29">
        <v>0</v>
      </c>
      <c r="G138" s="29">
        <f>SUM(4*150*3.75)</f>
        <v>2250</v>
      </c>
      <c r="H138" s="29">
        <v>0</v>
      </c>
      <c r="I138" s="29">
        <v>0</v>
      </c>
      <c r="J138" s="29">
        <f>SUM(4*150*3.75)</f>
        <v>2250</v>
      </c>
      <c r="K138" s="29">
        <v>0</v>
      </c>
      <c r="L138" s="29">
        <v>0</v>
      </c>
      <c r="M138" s="29">
        <f>SUM(4*150*3.75)</f>
        <v>2250</v>
      </c>
      <c r="N138" s="33">
        <f t="shared" ref="N138:N140" si="150">SUM(B138:M138)</f>
        <v>9000</v>
      </c>
      <c r="O138" s="8"/>
    </row>
    <row r="139" spans="1:15" x14ac:dyDescent="0.25">
      <c r="A139" s="15" t="s">
        <v>128</v>
      </c>
      <c r="B139" s="29">
        <f>SUM(2*100*3.75)</f>
        <v>750</v>
      </c>
      <c r="C139" s="29">
        <f t="shared" ref="C139:E139" si="151">SUM(2*100*3.75)</f>
        <v>750</v>
      </c>
      <c r="D139" s="29">
        <f t="shared" si="151"/>
        <v>750</v>
      </c>
      <c r="E139" s="29">
        <f t="shared" si="151"/>
        <v>750</v>
      </c>
      <c r="F139" s="29">
        <v>0</v>
      </c>
      <c r="G139" s="29">
        <f t="shared" ref="G139:I139" si="152">SUM(2*100*3.75)</f>
        <v>750</v>
      </c>
      <c r="H139" s="29">
        <f t="shared" si="152"/>
        <v>750</v>
      </c>
      <c r="I139" s="29">
        <f t="shared" si="152"/>
        <v>750</v>
      </c>
      <c r="J139" s="29">
        <v>0</v>
      </c>
      <c r="K139" s="29">
        <f t="shared" ref="K139:M139" si="153">SUM(2*100*3.75)</f>
        <v>750</v>
      </c>
      <c r="L139" s="29">
        <f t="shared" si="153"/>
        <v>750</v>
      </c>
      <c r="M139" s="29">
        <f t="shared" si="153"/>
        <v>750</v>
      </c>
      <c r="N139" s="33">
        <f t="shared" si="150"/>
        <v>7500</v>
      </c>
      <c r="O139" s="8"/>
    </row>
    <row r="140" spans="1:15" x14ac:dyDescent="0.25">
      <c r="A140" s="15" t="s">
        <v>129</v>
      </c>
      <c r="B140" s="29">
        <f>SUM(500*3.75)</f>
        <v>1875</v>
      </c>
      <c r="C140" s="29">
        <v>0</v>
      </c>
      <c r="D140" s="29">
        <v>0</v>
      </c>
      <c r="E140" s="29">
        <f>SUM(500*3.75)</f>
        <v>1875</v>
      </c>
      <c r="F140" s="29">
        <v>0</v>
      </c>
      <c r="G140" s="29">
        <v>0</v>
      </c>
      <c r="H140" s="29">
        <f>SUM(500*3.75)</f>
        <v>1875</v>
      </c>
      <c r="I140" s="29">
        <v>0</v>
      </c>
      <c r="J140" s="29">
        <v>0</v>
      </c>
      <c r="K140" s="29">
        <v>0</v>
      </c>
      <c r="L140" s="29">
        <f>SUM(200*3.75)</f>
        <v>750</v>
      </c>
      <c r="M140" s="29">
        <v>0</v>
      </c>
      <c r="N140" s="33">
        <f t="shared" si="150"/>
        <v>6375</v>
      </c>
      <c r="O140" s="13"/>
    </row>
    <row r="141" spans="1:15" x14ac:dyDescent="0.25">
      <c r="A141" s="8" t="s">
        <v>157</v>
      </c>
      <c r="B141" s="29">
        <v>0</v>
      </c>
      <c r="C141" s="29">
        <v>0</v>
      </c>
      <c r="D141" s="29">
        <v>0</v>
      </c>
      <c r="E141" s="29">
        <v>0</v>
      </c>
      <c r="F141" s="29">
        <f>SUM(1050*6.25)+(1050*3.75)</f>
        <v>10500</v>
      </c>
      <c r="G141" s="29">
        <v>0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33">
        <f>SUM(B141:M141)</f>
        <v>10500</v>
      </c>
      <c r="O141" s="13"/>
    </row>
    <row r="142" spans="1:15" x14ac:dyDescent="0.25">
      <c r="A142" s="7" t="s">
        <v>22</v>
      </c>
      <c r="B142" s="29">
        <f>SUM(B136:B141)</f>
        <v>14712.5</v>
      </c>
      <c r="C142" s="29">
        <f t="shared" ref="C142:N142" si="154">SUM(C136:C141)</f>
        <v>12375</v>
      </c>
      <c r="D142" s="29">
        <f t="shared" si="154"/>
        <v>10125</v>
      </c>
      <c r="E142" s="29">
        <f t="shared" si="154"/>
        <v>12312.5</v>
      </c>
      <c r="F142" s="29">
        <f t="shared" si="154"/>
        <v>20187.5</v>
      </c>
      <c r="G142" s="29">
        <f t="shared" si="154"/>
        <v>12375</v>
      </c>
      <c r="H142" s="29">
        <f t="shared" si="154"/>
        <v>12312.5</v>
      </c>
      <c r="I142" s="29">
        <f t="shared" si="154"/>
        <v>5437.5</v>
      </c>
      <c r="J142" s="29">
        <f t="shared" si="154"/>
        <v>14337.5</v>
      </c>
      <c r="K142" s="29">
        <f t="shared" si="154"/>
        <v>5300</v>
      </c>
      <c r="L142" s="29">
        <f t="shared" si="154"/>
        <v>4781.25</v>
      </c>
      <c r="M142" s="29">
        <f t="shared" si="154"/>
        <v>10500</v>
      </c>
      <c r="N142" s="33">
        <f t="shared" si="154"/>
        <v>134756.25</v>
      </c>
      <c r="O142" s="13"/>
    </row>
    <row r="143" spans="1:15" x14ac:dyDescent="0.25">
      <c r="A143" s="7" t="s">
        <v>1</v>
      </c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33"/>
      <c r="O143" s="13"/>
    </row>
    <row r="144" spans="1:15" x14ac:dyDescent="0.25">
      <c r="A144" s="7" t="s">
        <v>23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33"/>
      <c r="O144" s="13"/>
    </row>
    <row r="145" spans="1:15" x14ac:dyDescent="0.25">
      <c r="A145" s="8" t="s">
        <v>169</v>
      </c>
      <c r="B145" s="29">
        <f>SUM(4300/100*103)</f>
        <v>4429</v>
      </c>
      <c r="C145" s="29">
        <f t="shared" ref="C145:M145" si="155">SUM(4300/100*103)</f>
        <v>4429</v>
      </c>
      <c r="D145" s="29">
        <f t="shared" si="155"/>
        <v>4429</v>
      </c>
      <c r="E145" s="29">
        <f t="shared" si="155"/>
        <v>4429</v>
      </c>
      <c r="F145" s="29">
        <f t="shared" si="155"/>
        <v>4429</v>
      </c>
      <c r="G145" s="29">
        <f t="shared" si="155"/>
        <v>4429</v>
      </c>
      <c r="H145" s="29">
        <f t="shared" si="155"/>
        <v>4429</v>
      </c>
      <c r="I145" s="29">
        <f t="shared" si="155"/>
        <v>4429</v>
      </c>
      <c r="J145" s="29">
        <f t="shared" si="155"/>
        <v>4429</v>
      </c>
      <c r="K145" s="29">
        <f t="shared" si="155"/>
        <v>4429</v>
      </c>
      <c r="L145" s="29">
        <f t="shared" si="155"/>
        <v>4429</v>
      </c>
      <c r="M145" s="29">
        <f t="shared" si="155"/>
        <v>4429</v>
      </c>
      <c r="N145" s="33">
        <f>SUM(B145:M145)</f>
        <v>53148</v>
      </c>
      <c r="O145" s="13"/>
    </row>
    <row r="146" spans="1:15" x14ac:dyDescent="0.25">
      <c r="A146" s="15" t="s">
        <v>130</v>
      </c>
      <c r="B146" s="29">
        <f>SUM(((2*7*8.45)+ (11.2*4*3)+ (3*3*8.45))/100*103)/100*103</f>
        <v>348.77087499999993</v>
      </c>
      <c r="C146" s="29">
        <f>SUM((4*3*8.45)/100*103)/100*103</f>
        <v>107.57526000000001</v>
      </c>
      <c r="D146" s="29">
        <v>0</v>
      </c>
      <c r="E146" s="29">
        <v>0</v>
      </c>
      <c r="F146" s="29">
        <v>0</v>
      </c>
      <c r="G146" s="29">
        <f>SUM(261/100*103)</f>
        <v>268.83</v>
      </c>
      <c r="H146" s="29">
        <f>SUM((4*3*8.45)/100*103)/100*103</f>
        <v>107.57526000000001</v>
      </c>
      <c r="I146" s="29">
        <f>SUM((2*3*8.45)/100*103)/100*103</f>
        <v>53.787630000000007</v>
      </c>
      <c r="J146" s="29">
        <f>SUM(260)/100*103</f>
        <v>267.8</v>
      </c>
      <c r="K146" s="29">
        <f>SUM(168)/100*103</f>
        <v>173.04</v>
      </c>
      <c r="L146" s="29">
        <f>SUM(104)/100*103</f>
        <v>107.12</v>
      </c>
      <c r="M146" s="29">
        <f>SUM(52)/100*103</f>
        <v>53.56</v>
      </c>
      <c r="N146" s="33">
        <f t="shared" ref="N146:N152" si="156">SUM(B146:M146)</f>
        <v>1488.059025</v>
      </c>
      <c r="O146" s="13"/>
    </row>
    <row r="147" spans="1:15" x14ac:dyDescent="0.25">
      <c r="A147" s="15" t="s">
        <v>30</v>
      </c>
      <c r="B147" s="29">
        <v>0</v>
      </c>
      <c r="C147" s="29">
        <v>0</v>
      </c>
      <c r="D147" s="29">
        <v>0</v>
      </c>
      <c r="E147" s="29">
        <v>0</v>
      </c>
      <c r="F147" s="29">
        <v>0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29">
        <v>0</v>
      </c>
      <c r="M147" s="29">
        <v>2750</v>
      </c>
      <c r="N147" s="33">
        <f t="shared" si="156"/>
        <v>2750</v>
      </c>
      <c r="O147" s="13"/>
    </row>
    <row r="148" spans="1:15" x14ac:dyDescent="0.25">
      <c r="A148" s="15" t="s">
        <v>64</v>
      </c>
      <c r="B148" s="29">
        <f>SUM(165/100*103)</f>
        <v>169.95</v>
      </c>
      <c r="C148" s="29">
        <f t="shared" ref="C148:M148" si="157">SUM(165/100*103)</f>
        <v>169.95</v>
      </c>
      <c r="D148" s="29">
        <f t="shared" si="157"/>
        <v>169.95</v>
      </c>
      <c r="E148" s="29">
        <f t="shared" si="157"/>
        <v>169.95</v>
      </c>
      <c r="F148" s="29">
        <f t="shared" si="157"/>
        <v>169.95</v>
      </c>
      <c r="G148" s="29">
        <f t="shared" si="157"/>
        <v>169.95</v>
      </c>
      <c r="H148" s="29">
        <f t="shared" si="157"/>
        <v>169.95</v>
      </c>
      <c r="I148" s="29">
        <f t="shared" si="157"/>
        <v>169.95</v>
      </c>
      <c r="J148" s="29">
        <f t="shared" si="157"/>
        <v>169.95</v>
      </c>
      <c r="K148" s="29">
        <f t="shared" si="157"/>
        <v>169.95</v>
      </c>
      <c r="L148" s="29">
        <f t="shared" si="157"/>
        <v>169.95</v>
      </c>
      <c r="M148" s="29">
        <f t="shared" si="157"/>
        <v>169.95</v>
      </c>
      <c r="N148" s="33">
        <f t="shared" si="156"/>
        <v>2039.4000000000003</v>
      </c>
      <c r="O148" s="13"/>
    </row>
    <row r="149" spans="1:15" x14ac:dyDescent="0.25">
      <c r="A149" s="15" t="s">
        <v>131</v>
      </c>
      <c r="B149" s="29">
        <f>SUM(301/100*103)</f>
        <v>310.02999999999997</v>
      </c>
      <c r="C149" s="29">
        <f t="shared" ref="C149:M149" si="158">SUM(301/100*103)</f>
        <v>310.02999999999997</v>
      </c>
      <c r="D149" s="29">
        <f t="shared" si="158"/>
        <v>310.02999999999997</v>
      </c>
      <c r="E149" s="29">
        <f t="shared" si="158"/>
        <v>310.02999999999997</v>
      </c>
      <c r="F149" s="29">
        <f t="shared" si="158"/>
        <v>310.02999999999997</v>
      </c>
      <c r="G149" s="29">
        <f t="shared" si="158"/>
        <v>310.02999999999997</v>
      </c>
      <c r="H149" s="29">
        <f t="shared" si="158"/>
        <v>310.02999999999997</v>
      </c>
      <c r="I149" s="29">
        <f t="shared" si="158"/>
        <v>310.02999999999997</v>
      </c>
      <c r="J149" s="29">
        <f t="shared" si="158"/>
        <v>310.02999999999997</v>
      </c>
      <c r="K149" s="29">
        <f t="shared" si="158"/>
        <v>310.02999999999997</v>
      </c>
      <c r="L149" s="29">
        <f t="shared" si="158"/>
        <v>310.02999999999997</v>
      </c>
      <c r="M149" s="29">
        <f t="shared" si="158"/>
        <v>310.02999999999997</v>
      </c>
      <c r="N149" s="33">
        <f t="shared" si="156"/>
        <v>3720.3599999999988</v>
      </c>
      <c r="O149" s="13"/>
    </row>
    <row r="150" spans="1:15" x14ac:dyDescent="0.25">
      <c r="A150" s="15" t="s">
        <v>32</v>
      </c>
      <c r="B150" s="29">
        <v>0</v>
      </c>
      <c r="C150" s="29">
        <v>0</v>
      </c>
      <c r="D150" s="29">
        <v>0</v>
      </c>
      <c r="E150" s="29">
        <f>SUM(248/100*103)</f>
        <v>255.44</v>
      </c>
      <c r="F150" s="29">
        <v>0</v>
      </c>
      <c r="G150" s="29">
        <v>0</v>
      </c>
      <c r="H150" s="29">
        <v>0</v>
      </c>
      <c r="I150" s="29">
        <v>0</v>
      </c>
      <c r="J150" s="29">
        <v>0</v>
      </c>
      <c r="K150" s="29">
        <v>0</v>
      </c>
      <c r="L150" s="29">
        <v>0</v>
      </c>
      <c r="M150" s="29">
        <v>0</v>
      </c>
      <c r="N150" s="33">
        <f t="shared" si="156"/>
        <v>255.44</v>
      </c>
      <c r="O150" s="13"/>
    </row>
    <row r="151" spans="1:15" x14ac:dyDescent="0.25">
      <c r="A151" s="15" t="s">
        <v>33</v>
      </c>
      <c r="B151" s="29">
        <v>0</v>
      </c>
      <c r="C151" s="29">
        <v>0</v>
      </c>
      <c r="D151" s="29">
        <v>0</v>
      </c>
      <c r="E151" s="29">
        <v>0</v>
      </c>
      <c r="F151" s="29">
        <v>0</v>
      </c>
      <c r="G151" s="29">
        <v>0</v>
      </c>
      <c r="H151" s="29">
        <v>0</v>
      </c>
      <c r="I151" s="29">
        <v>0</v>
      </c>
      <c r="J151" s="29">
        <v>0</v>
      </c>
      <c r="K151" s="29">
        <v>0</v>
      </c>
      <c r="L151" s="29">
        <v>0</v>
      </c>
      <c r="M151" s="29">
        <v>0</v>
      </c>
      <c r="N151" s="33">
        <f t="shared" si="156"/>
        <v>0</v>
      </c>
      <c r="O151" s="13"/>
    </row>
    <row r="152" spans="1:15" x14ac:dyDescent="0.25">
      <c r="A152" s="15" t="s">
        <v>132</v>
      </c>
      <c r="B152" s="29">
        <f t="shared" ref="B152:D152" si="159">SUM(B142/100*40)</f>
        <v>5885</v>
      </c>
      <c r="C152" s="29">
        <f t="shared" si="159"/>
        <v>4950</v>
      </c>
      <c r="D152" s="29">
        <f t="shared" si="159"/>
        <v>4050</v>
      </c>
      <c r="E152" s="29">
        <f>SUM(E142/100*40)</f>
        <v>4925</v>
      </c>
      <c r="F152" s="29">
        <f t="shared" ref="F152:M152" si="160">SUM(F142/100*40)</f>
        <v>8075</v>
      </c>
      <c r="G152" s="29">
        <f t="shared" si="160"/>
        <v>4950</v>
      </c>
      <c r="H152" s="29">
        <f t="shared" si="160"/>
        <v>4925</v>
      </c>
      <c r="I152" s="29">
        <f t="shared" si="160"/>
        <v>2175</v>
      </c>
      <c r="J152" s="29">
        <f t="shared" si="160"/>
        <v>5735</v>
      </c>
      <c r="K152" s="29">
        <f t="shared" si="160"/>
        <v>2120</v>
      </c>
      <c r="L152" s="29">
        <f t="shared" si="160"/>
        <v>1912.5</v>
      </c>
      <c r="M152" s="29">
        <f t="shared" si="160"/>
        <v>4200</v>
      </c>
      <c r="N152" s="33">
        <f t="shared" si="156"/>
        <v>53902.5</v>
      </c>
      <c r="O152" s="13"/>
    </row>
    <row r="153" spans="1:15" x14ac:dyDescent="0.25">
      <c r="A153" s="7" t="s">
        <v>24</v>
      </c>
      <c r="B153" s="29">
        <f>SUM(B145:B152)</f>
        <v>11142.750875</v>
      </c>
      <c r="C153" s="29">
        <f t="shared" ref="C153" si="161">SUM(C145:C152)</f>
        <v>9966.5552599999992</v>
      </c>
      <c r="D153" s="29">
        <f t="shared" ref="D153" si="162">SUM(D145:D152)</f>
        <v>8958.98</v>
      </c>
      <c r="E153" s="29">
        <f t="shared" ref="E153" si="163">SUM(E145:E152)</f>
        <v>10089.419999999998</v>
      </c>
      <c r="F153" s="29">
        <f t="shared" ref="F153" si="164">SUM(F145:F152)</f>
        <v>12983.98</v>
      </c>
      <c r="G153" s="29">
        <f t="shared" ref="G153" si="165">SUM(G145:G152)</f>
        <v>10127.81</v>
      </c>
      <c r="H153" s="29">
        <f t="shared" ref="H153" si="166">SUM(H145:H152)</f>
        <v>9941.5552599999992</v>
      </c>
      <c r="I153" s="29">
        <f t="shared" ref="I153" si="167">SUM(I145:I152)</f>
        <v>7137.7676299999994</v>
      </c>
      <c r="J153" s="29">
        <f t="shared" ref="J153" si="168">SUM(J145:J152)</f>
        <v>10911.779999999999</v>
      </c>
      <c r="K153" s="29">
        <f t="shared" ref="K153" si="169">SUM(K145:K152)</f>
        <v>7202.0199999999995</v>
      </c>
      <c r="L153" s="29">
        <f t="shared" ref="L153" si="170">SUM(L145:L152)</f>
        <v>6928.5999999999995</v>
      </c>
      <c r="M153" s="29">
        <f t="shared" ref="M153" si="171">SUM(M145:M152)</f>
        <v>11912.54</v>
      </c>
      <c r="N153" s="33">
        <f>SUM(N145:N152)</f>
        <v>117303.75902500001</v>
      </c>
      <c r="O153" s="13"/>
    </row>
    <row r="154" spans="1:15" x14ac:dyDescent="0.25">
      <c r="A154" s="7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5"/>
      <c r="O154" s="13"/>
    </row>
    <row r="155" spans="1:15" x14ac:dyDescent="0.25">
      <c r="A155" s="7" t="s">
        <v>25</v>
      </c>
      <c r="B155" s="29">
        <f>$M$130</f>
        <v>42796.615199999971</v>
      </c>
      <c r="C155" s="29">
        <f t="shared" ref="C155" si="172">SUM(B157)</f>
        <v>46366.364324999973</v>
      </c>
      <c r="D155" s="29">
        <f t="shared" ref="D155" si="173">SUM(C157)</f>
        <v>48774.809064999972</v>
      </c>
      <c r="E155" s="29">
        <f t="shared" ref="E155" si="174">SUM(D157)</f>
        <v>49940.829064999969</v>
      </c>
      <c r="F155" s="29">
        <f t="shared" ref="F155" si="175">SUM(E157)</f>
        <v>52163.909064999971</v>
      </c>
      <c r="G155" s="29">
        <f t="shared" ref="G155" si="176">SUM(F157)</f>
        <v>59367.429064999975</v>
      </c>
      <c r="H155" s="29">
        <f t="shared" ref="H155" si="177">SUM(G157)</f>
        <v>61614.619064999977</v>
      </c>
      <c r="I155" s="29">
        <f t="shared" ref="I155" si="178">SUM(H157)</f>
        <v>63985.563804999976</v>
      </c>
      <c r="J155" s="29">
        <f t="shared" ref="J155" si="179">SUM(I157)</f>
        <v>62285.296174999974</v>
      </c>
      <c r="K155" s="29">
        <f t="shared" ref="K155" si="180">SUM(J157)</f>
        <v>65711.016174999968</v>
      </c>
      <c r="L155" s="29">
        <f t="shared" ref="L155" si="181">SUM(K157)</f>
        <v>63808.996174999971</v>
      </c>
      <c r="M155" s="29">
        <f t="shared" ref="M155" si="182">SUM(L157)</f>
        <v>61661.646174999973</v>
      </c>
      <c r="N155" s="33"/>
      <c r="O155" s="13"/>
    </row>
    <row r="156" spans="1:15" x14ac:dyDescent="0.25">
      <c r="A156" s="7" t="s">
        <v>26</v>
      </c>
      <c r="B156" s="29">
        <f t="shared" ref="B156:M156" si="183">SUM(B142-B153)</f>
        <v>3569.7491250000003</v>
      </c>
      <c r="C156" s="29">
        <f t="shared" si="183"/>
        <v>2408.4447400000008</v>
      </c>
      <c r="D156" s="29">
        <f t="shared" si="183"/>
        <v>1166.0200000000004</v>
      </c>
      <c r="E156" s="29">
        <f t="shared" si="183"/>
        <v>2223.0800000000017</v>
      </c>
      <c r="F156" s="29">
        <f t="shared" si="183"/>
        <v>7203.52</v>
      </c>
      <c r="G156" s="29">
        <f t="shared" si="183"/>
        <v>2247.1900000000005</v>
      </c>
      <c r="H156" s="29">
        <f t="shared" si="183"/>
        <v>2370.9447400000008</v>
      </c>
      <c r="I156" s="29">
        <f t="shared" si="183"/>
        <v>-1700.2676299999994</v>
      </c>
      <c r="J156" s="29">
        <f t="shared" si="183"/>
        <v>3425.7200000000012</v>
      </c>
      <c r="K156" s="29">
        <f t="shared" si="183"/>
        <v>-1902.0199999999995</v>
      </c>
      <c r="L156" s="29">
        <f t="shared" si="183"/>
        <v>-2147.3499999999995</v>
      </c>
      <c r="M156" s="29">
        <f t="shared" si="183"/>
        <v>-1412.5400000000009</v>
      </c>
      <c r="N156" s="34"/>
      <c r="O156" s="13"/>
    </row>
    <row r="157" spans="1:15" x14ac:dyDescent="0.25">
      <c r="A157" s="7" t="s">
        <v>27</v>
      </c>
      <c r="B157" s="29">
        <f>SUM(B155+B156)</f>
        <v>46366.364324999973</v>
      </c>
      <c r="C157" s="29">
        <f t="shared" ref="C157:M157" si="184">SUM(C155+C156)</f>
        <v>48774.809064999972</v>
      </c>
      <c r="D157" s="29">
        <f t="shared" si="184"/>
        <v>49940.829064999969</v>
      </c>
      <c r="E157" s="29">
        <f t="shared" si="184"/>
        <v>52163.909064999971</v>
      </c>
      <c r="F157" s="29">
        <f t="shared" si="184"/>
        <v>59367.429064999975</v>
      </c>
      <c r="G157" s="29">
        <f t="shared" si="184"/>
        <v>61614.619064999977</v>
      </c>
      <c r="H157" s="29">
        <f t="shared" si="184"/>
        <v>63985.563804999976</v>
      </c>
      <c r="I157" s="29">
        <f t="shared" si="184"/>
        <v>62285.296174999974</v>
      </c>
      <c r="J157" s="29">
        <f t="shared" si="184"/>
        <v>65711.016174999968</v>
      </c>
      <c r="K157" s="29">
        <f t="shared" si="184"/>
        <v>63808.996174999971</v>
      </c>
      <c r="L157" s="29">
        <f t="shared" si="184"/>
        <v>61661.646174999973</v>
      </c>
      <c r="M157" s="29">
        <f t="shared" si="184"/>
        <v>60249.106174999972</v>
      </c>
      <c r="N157" s="34"/>
      <c r="O157" s="13"/>
    </row>
    <row r="158" spans="1:15" x14ac:dyDescent="0.25">
      <c r="A158" s="7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5"/>
      <c r="O158" s="13"/>
    </row>
    <row r="159" spans="1:15" x14ac:dyDescent="0.25">
      <c r="A159" s="7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13"/>
    </row>
    <row r="160" spans="1:15" x14ac:dyDescent="0.25">
      <c r="A160" s="7" t="s">
        <v>199</v>
      </c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x14ac:dyDescent="0.25">
      <c r="A161" s="7"/>
      <c r="B161" s="7" t="s">
        <v>4</v>
      </c>
      <c r="C161" s="7" t="s">
        <v>5</v>
      </c>
      <c r="D161" s="7" t="s">
        <v>6</v>
      </c>
      <c r="E161" s="7" t="s">
        <v>7</v>
      </c>
      <c r="F161" s="7" t="s">
        <v>8</v>
      </c>
      <c r="G161" s="7" t="s">
        <v>9</v>
      </c>
      <c r="H161" s="7" t="s">
        <v>10</v>
      </c>
      <c r="I161" s="7" t="s">
        <v>11</v>
      </c>
      <c r="J161" s="7" t="s">
        <v>12</v>
      </c>
      <c r="K161" s="7" t="s">
        <v>13</v>
      </c>
      <c r="L161" s="7" t="s">
        <v>14</v>
      </c>
      <c r="M161" s="7" t="s">
        <v>15</v>
      </c>
      <c r="N161" s="7" t="s">
        <v>3</v>
      </c>
      <c r="O161" s="13"/>
    </row>
    <row r="162" spans="1:15" x14ac:dyDescent="0.25">
      <c r="A162" s="9" t="s">
        <v>16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33"/>
      <c r="O162" s="8"/>
    </row>
    <row r="163" spans="1:15" x14ac:dyDescent="0.25">
      <c r="A163" s="8" t="s">
        <v>126</v>
      </c>
      <c r="B163" s="29">
        <f>SUM(31*50*6.5)</f>
        <v>10075</v>
      </c>
      <c r="C163" s="29">
        <f>SUM(30*50*6.5)</f>
        <v>9750</v>
      </c>
      <c r="D163" s="29">
        <f>SUM(30*50*6.5)</f>
        <v>9750</v>
      </c>
      <c r="E163" s="29">
        <f>SUM(31*50*6.5)</f>
        <v>10075</v>
      </c>
      <c r="F163" s="29">
        <f>SUM(31*50*6.5)</f>
        <v>10075</v>
      </c>
      <c r="G163" s="29">
        <f>SUM(30*50*6.5)</f>
        <v>9750</v>
      </c>
      <c r="H163" s="29">
        <f>SUM(31*50*6.5)</f>
        <v>10075</v>
      </c>
      <c r="I163" s="29">
        <f>SUM(30*25*6.5)</f>
        <v>4875</v>
      </c>
      <c r="J163" s="29">
        <f>SUM(31*50*6.5)</f>
        <v>10075</v>
      </c>
      <c r="K163" s="29">
        <f>SUM(24*25*6.5)</f>
        <v>3900</v>
      </c>
      <c r="L163" s="29">
        <f>SUM(21*25*6.5)</f>
        <v>3412.5</v>
      </c>
      <c r="M163" s="29">
        <f>SUM(30*40*6.5)</f>
        <v>7800</v>
      </c>
      <c r="N163" s="33">
        <f>SUM(B163:M163)</f>
        <v>99612.5</v>
      </c>
      <c r="O163" s="8"/>
    </row>
    <row r="164" spans="1:15" x14ac:dyDescent="0.25">
      <c r="A164" s="15" t="s">
        <v>56</v>
      </c>
      <c r="B164" s="29">
        <f>SUM(3*50*16)</f>
        <v>2400</v>
      </c>
      <c r="C164" s="29">
        <v>0</v>
      </c>
      <c r="D164" s="29">
        <v>0</v>
      </c>
      <c r="E164" s="29">
        <v>0</v>
      </c>
      <c r="F164" s="29">
        <v>0</v>
      </c>
      <c r="G164" s="29">
        <v>0</v>
      </c>
      <c r="H164" s="29">
        <v>0</v>
      </c>
      <c r="I164" s="29">
        <v>0</v>
      </c>
      <c r="J164" s="29">
        <f>SUM(3*50*16)</f>
        <v>2400</v>
      </c>
      <c r="K164" s="29">
        <f>SUM(50*16)</f>
        <v>800</v>
      </c>
      <c r="L164" s="29">
        <v>0</v>
      </c>
      <c r="M164" s="29">
        <v>0</v>
      </c>
      <c r="N164" s="33">
        <f>SUM(B164:M164)</f>
        <v>5600</v>
      </c>
      <c r="O164" s="8"/>
    </row>
    <row r="165" spans="1:15" x14ac:dyDescent="0.25">
      <c r="A165" s="15" t="s">
        <v>127</v>
      </c>
      <c r="B165" s="29">
        <v>0</v>
      </c>
      <c r="C165" s="29">
        <f>SUM(4*150*4)</f>
        <v>2400</v>
      </c>
      <c r="D165" s="29">
        <v>0</v>
      </c>
      <c r="E165" s="29">
        <v>0</v>
      </c>
      <c r="F165" s="29">
        <v>0</v>
      </c>
      <c r="G165" s="29">
        <f>SUM(4*150*4)</f>
        <v>2400</v>
      </c>
      <c r="H165" s="29">
        <v>0</v>
      </c>
      <c r="I165" s="29">
        <v>0</v>
      </c>
      <c r="J165" s="29">
        <f>SUM(4*150*4)</f>
        <v>2400</v>
      </c>
      <c r="K165" s="29">
        <v>0</v>
      </c>
      <c r="L165" s="29">
        <v>0</v>
      </c>
      <c r="M165" s="29">
        <f>SUM(4*150*4)</f>
        <v>2400</v>
      </c>
      <c r="N165" s="33">
        <f t="shared" ref="N165:N167" si="185">SUM(B165:M165)</f>
        <v>9600</v>
      </c>
      <c r="O165" s="8"/>
    </row>
    <row r="166" spans="1:15" x14ac:dyDescent="0.25">
      <c r="A166" s="15" t="s">
        <v>128</v>
      </c>
      <c r="B166" s="29">
        <f>SUM(2*100*4)</f>
        <v>800</v>
      </c>
      <c r="C166" s="29">
        <f t="shared" ref="C166:E166" si="186">SUM(2*100*4)</f>
        <v>800</v>
      </c>
      <c r="D166" s="29">
        <f t="shared" si="186"/>
        <v>800</v>
      </c>
      <c r="E166" s="29">
        <f t="shared" si="186"/>
        <v>800</v>
      </c>
      <c r="F166" s="29">
        <v>0</v>
      </c>
      <c r="G166" s="29">
        <f t="shared" ref="G166:I166" si="187">SUM(2*100*4)</f>
        <v>800</v>
      </c>
      <c r="H166" s="29">
        <f t="shared" si="187"/>
        <v>800</v>
      </c>
      <c r="I166" s="29">
        <f t="shared" si="187"/>
        <v>800</v>
      </c>
      <c r="J166" s="29">
        <v>0</v>
      </c>
      <c r="K166" s="29">
        <f t="shared" ref="K166:M166" si="188">SUM(2*100*4)</f>
        <v>800</v>
      </c>
      <c r="L166" s="29">
        <f t="shared" si="188"/>
        <v>800</v>
      </c>
      <c r="M166" s="29">
        <f t="shared" si="188"/>
        <v>800</v>
      </c>
      <c r="N166" s="33">
        <f t="shared" si="185"/>
        <v>8000</v>
      </c>
      <c r="O166" s="8"/>
    </row>
    <row r="167" spans="1:15" x14ac:dyDescent="0.25">
      <c r="A167" s="15" t="s">
        <v>129</v>
      </c>
      <c r="B167" s="29">
        <f>SUM(500*4)</f>
        <v>2000</v>
      </c>
      <c r="C167" s="29">
        <v>0</v>
      </c>
      <c r="D167" s="29">
        <v>0</v>
      </c>
      <c r="E167" s="29">
        <f>SUM(500*4)</f>
        <v>2000</v>
      </c>
      <c r="F167" s="29">
        <v>0</v>
      </c>
      <c r="G167" s="29">
        <v>0</v>
      </c>
      <c r="H167" s="29">
        <f>SUM(500*4)</f>
        <v>2000</v>
      </c>
      <c r="I167" s="29">
        <v>0</v>
      </c>
      <c r="J167" s="29">
        <v>0</v>
      </c>
      <c r="K167" s="29">
        <v>0</v>
      </c>
      <c r="L167" s="29">
        <f>SUM(200*4)</f>
        <v>800</v>
      </c>
      <c r="M167" s="29">
        <v>0</v>
      </c>
      <c r="N167" s="33">
        <f t="shared" si="185"/>
        <v>6800</v>
      </c>
      <c r="O167" s="13"/>
    </row>
    <row r="168" spans="1:15" x14ac:dyDescent="0.25">
      <c r="A168" s="8" t="s">
        <v>157</v>
      </c>
      <c r="B168" s="29">
        <v>0</v>
      </c>
      <c r="C168" s="29">
        <v>0</v>
      </c>
      <c r="D168" s="29">
        <v>0</v>
      </c>
      <c r="E168" s="29">
        <v>0</v>
      </c>
      <c r="F168" s="29">
        <f>SUM(1050*6.5)+(1050*4)</f>
        <v>11025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33">
        <f>SUM(B168:M168)</f>
        <v>11025</v>
      </c>
      <c r="O168" s="13"/>
    </row>
    <row r="169" spans="1:15" x14ac:dyDescent="0.25">
      <c r="A169" s="7" t="s">
        <v>22</v>
      </c>
      <c r="B169" s="29">
        <f>SUM(B163:B168)</f>
        <v>15275</v>
      </c>
      <c r="C169" s="29">
        <f t="shared" ref="C169:N169" si="189">SUM(C163:C168)</f>
        <v>12950</v>
      </c>
      <c r="D169" s="29">
        <f t="shared" si="189"/>
        <v>10550</v>
      </c>
      <c r="E169" s="29">
        <f t="shared" si="189"/>
        <v>12875</v>
      </c>
      <c r="F169" s="29">
        <f t="shared" si="189"/>
        <v>21100</v>
      </c>
      <c r="G169" s="29">
        <f t="shared" si="189"/>
        <v>12950</v>
      </c>
      <c r="H169" s="29">
        <f t="shared" si="189"/>
        <v>12875</v>
      </c>
      <c r="I169" s="29">
        <f t="shared" si="189"/>
        <v>5675</v>
      </c>
      <c r="J169" s="29">
        <f t="shared" si="189"/>
        <v>14875</v>
      </c>
      <c r="K169" s="29">
        <f t="shared" si="189"/>
        <v>5500</v>
      </c>
      <c r="L169" s="29">
        <f t="shared" si="189"/>
        <v>5012.5</v>
      </c>
      <c r="M169" s="29">
        <f t="shared" si="189"/>
        <v>11000</v>
      </c>
      <c r="N169" s="33">
        <f t="shared" si="189"/>
        <v>140637.5</v>
      </c>
      <c r="O169" s="13"/>
    </row>
    <row r="170" spans="1:15" x14ac:dyDescent="0.25">
      <c r="A170" s="7" t="s">
        <v>1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33"/>
      <c r="O170" s="13"/>
    </row>
    <row r="171" spans="1:15" x14ac:dyDescent="0.25">
      <c r="A171" s="7" t="s">
        <v>23</v>
      </c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33"/>
      <c r="O171" s="13"/>
    </row>
    <row r="172" spans="1:15" x14ac:dyDescent="0.25">
      <c r="A172" s="8" t="s">
        <v>169</v>
      </c>
      <c r="B172" s="29">
        <f>SUM(4429/100*103)</f>
        <v>4561.87</v>
      </c>
      <c r="C172" s="29">
        <f t="shared" ref="C172:M172" si="190">SUM(4429/100*103)</f>
        <v>4561.87</v>
      </c>
      <c r="D172" s="29">
        <f t="shared" si="190"/>
        <v>4561.87</v>
      </c>
      <c r="E172" s="29">
        <f t="shared" si="190"/>
        <v>4561.87</v>
      </c>
      <c r="F172" s="29">
        <f t="shared" si="190"/>
        <v>4561.87</v>
      </c>
      <c r="G172" s="29">
        <f t="shared" si="190"/>
        <v>4561.87</v>
      </c>
      <c r="H172" s="29">
        <f t="shared" si="190"/>
        <v>4561.87</v>
      </c>
      <c r="I172" s="29">
        <f t="shared" si="190"/>
        <v>4561.87</v>
      </c>
      <c r="J172" s="29">
        <f t="shared" si="190"/>
        <v>4561.87</v>
      </c>
      <c r="K172" s="29">
        <f t="shared" si="190"/>
        <v>4561.87</v>
      </c>
      <c r="L172" s="29">
        <f t="shared" si="190"/>
        <v>4561.87</v>
      </c>
      <c r="M172" s="29">
        <f t="shared" si="190"/>
        <v>4561.87</v>
      </c>
      <c r="N172" s="33">
        <f>SUM(B172:M172)</f>
        <v>54742.44000000001</v>
      </c>
      <c r="O172" s="13"/>
    </row>
    <row r="173" spans="1:15" x14ac:dyDescent="0.25">
      <c r="A173" s="15" t="s">
        <v>130</v>
      </c>
      <c r="B173" s="29">
        <f>SUM(349/100*103)</f>
        <v>359.47</v>
      </c>
      <c r="C173" s="29">
        <f>SUM(108/100*103)</f>
        <v>111.24000000000001</v>
      </c>
      <c r="D173" s="29">
        <v>0</v>
      </c>
      <c r="E173" s="29">
        <v>0</v>
      </c>
      <c r="F173" s="29">
        <v>0</v>
      </c>
      <c r="G173" s="29">
        <f>SUM(269/100*103)</f>
        <v>277.07</v>
      </c>
      <c r="H173" s="29">
        <f>SUM(108/100*103)</f>
        <v>111.24000000000001</v>
      </c>
      <c r="I173" s="29">
        <f>SUM(54/100*103)</f>
        <v>55.620000000000005</v>
      </c>
      <c r="J173" s="29">
        <f>SUM(268)/100*103</f>
        <v>276.04000000000002</v>
      </c>
      <c r="K173" s="29">
        <f>SUM(173)/100*103</f>
        <v>178.19</v>
      </c>
      <c r="L173" s="29">
        <f>SUM(107)/100*103</f>
        <v>110.21000000000001</v>
      </c>
      <c r="M173" s="29">
        <f>SUM(56/100*103)</f>
        <v>57.680000000000007</v>
      </c>
      <c r="N173" s="33">
        <f t="shared" ref="N173:N179" si="191">SUM(B173:M173)</f>
        <v>1536.7600000000002</v>
      </c>
      <c r="O173" s="13"/>
    </row>
    <row r="174" spans="1:15" x14ac:dyDescent="0.25">
      <c r="A174" s="15" t="s">
        <v>30</v>
      </c>
      <c r="B174" s="29">
        <v>0</v>
      </c>
      <c r="C174" s="29">
        <v>0</v>
      </c>
      <c r="D174" s="29">
        <v>0</v>
      </c>
      <c r="E174" s="29">
        <v>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9">
        <v>2750</v>
      </c>
      <c r="N174" s="33">
        <f t="shared" si="191"/>
        <v>2750</v>
      </c>
      <c r="O174" s="13"/>
    </row>
    <row r="175" spans="1:15" x14ac:dyDescent="0.25">
      <c r="A175" s="15" t="s">
        <v>64</v>
      </c>
      <c r="B175" s="29">
        <f>SUM(170/100*103)</f>
        <v>175.1</v>
      </c>
      <c r="C175" s="29">
        <f t="shared" ref="C175:M175" si="192">SUM(170/100*103)</f>
        <v>175.1</v>
      </c>
      <c r="D175" s="29">
        <f t="shared" si="192"/>
        <v>175.1</v>
      </c>
      <c r="E175" s="29">
        <f t="shared" si="192"/>
        <v>175.1</v>
      </c>
      <c r="F175" s="29">
        <f t="shared" si="192"/>
        <v>175.1</v>
      </c>
      <c r="G175" s="29">
        <f t="shared" si="192"/>
        <v>175.1</v>
      </c>
      <c r="H175" s="29">
        <f t="shared" si="192"/>
        <v>175.1</v>
      </c>
      <c r="I175" s="29">
        <f t="shared" si="192"/>
        <v>175.1</v>
      </c>
      <c r="J175" s="29">
        <f t="shared" si="192"/>
        <v>175.1</v>
      </c>
      <c r="K175" s="29">
        <f t="shared" si="192"/>
        <v>175.1</v>
      </c>
      <c r="L175" s="29">
        <f t="shared" si="192"/>
        <v>175.1</v>
      </c>
      <c r="M175" s="29">
        <f t="shared" si="192"/>
        <v>175.1</v>
      </c>
      <c r="N175" s="33">
        <f t="shared" si="191"/>
        <v>2101.1999999999994</v>
      </c>
      <c r="O175" s="13"/>
    </row>
    <row r="176" spans="1:15" x14ac:dyDescent="0.25">
      <c r="A176" s="15" t="s">
        <v>131</v>
      </c>
      <c r="B176" s="29">
        <f>SUM(310/100*103)</f>
        <v>319.3</v>
      </c>
      <c r="C176" s="29">
        <f t="shared" ref="C176:M176" si="193">SUM(310/100*103)</f>
        <v>319.3</v>
      </c>
      <c r="D176" s="29">
        <f t="shared" si="193"/>
        <v>319.3</v>
      </c>
      <c r="E176" s="29">
        <f t="shared" si="193"/>
        <v>319.3</v>
      </c>
      <c r="F176" s="29">
        <f t="shared" si="193"/>
        <v>319.3</v>
      </c>
      <c r="G176" s="29">
        <f t="shared" si="193"/>
        <v>319.3</v>
      </c>
      <c r="H176" s="29">
        <f t="shared" si="193"/>
        <v>319.3</v>
      </c>
      <c r="I176" s="29">
        <f t="shared" si="193"/>
        <v>319.3</v>
      </c>
      <c r="J176" s="29">
        <f t="shared" si="193"/>
        <v>319.3</v>
      </c>
      <c r="K176" s="29">
        <f t="shared" si="193"/>
        <v>319.3</v>
      </c>
      <c r="L176" s="29">
        <f t="shared" si="193"/>
        <v>319.3</v>
      </c>
      <c r="M176" s="29">
        <f t="shared" si="193"/>
        <v>319.3</v>
      </c>
      <c r="N176" s="33">
        <f t="shared" si="191"/>
        <v>3831.6000000000008</v>
      </c>
      <c r="O176" s="13"/>
    </row>
    <row r="177" spans="1:15" x14ac:dyDescent="0.25">
      <c r="A177" s="15" t="s">
        <v>32</v>
      </c>
      <c r="B177" s="29">
        <v>0</v>
      </c>
      <c r="C177" s="29">
        <v>0</v>
      </c>
      <c r="D177" s="29">
        <v>0</v>
      </c>
      <c r="E177" s="29">
        <f>SUM(255/100*103)</f>
        <v>262.64999999999998</v>
      </c>
      <c r="F177" s="29"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33">
        <f t="shared" si="191"/>
        <v>262.64999999999998</v>
      </c>
      <c r="O177" s="13"/>
    </row>
    <row r="178" spans="1:15" x14ac:dyDescent="0.25">
      <c r="A178" s="15" t="s">
        <v>33</v>
      </c>
      <c r="B178" s="29">
        <v>0</v>
      </c>
      <c r="C178" s="29">
        <v>0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33">
        <f t="shared" si="191"/>
        <v>0</v>
      </c>
      <c r="O178" s="13"/>
    </row>
    <row r="179" spans="1:15" x14ac:dyDescent="0.25">
      <c r="A179" s="15" t="s">
        <v>132</v>
      </c>
      <c r="B179" s="29">
        <f t="shared" ref="B179:D179" si="194">SUM(B169/100*40)</f>
        <v>6110</v>
      </c>
      <c r="C179" s="29">
        <f t="shared" si="194"/>
        <v>5180</v>
      </c>
      <c r="D179" s="29">
        <f t="shared" si="194"/>
        <v>4220</v>
      </c>
      <c r="E179" s="29">
        <f>SUM(E169/100*40)</f>
        <v>5150</v>
      </c>
      <c r="F179" s="29">
        <f t="shared" ref="F179:M179" si="195">SUM(F169/100*40)</f>
        <v>8440</v>
      </c>
      <c r="G179" s="29">
        <f t="shared" si="195"/>
        <v>5180</v>
      </c>
      <c r="H179" s="29">
        <f t="shared" si="195"/>
        <v>5150</v>
      </c>
      <c r="I179" s="29">
        <f t="shared" si="195"/>
        <v>2270</v>
      </c>
      <c r="J179" s="29">
        <f t="shared" si="195"/>
        <v>5950</v>
      </c>
      <c r="K179" s="29">
        <f t="shared" si="195"/>
        <v>2200</v>
      </c>
      <c r="L179" s="29">
        <f t="shared" si="195"/>
        <v>2005</v>
      </c>
      <c r="M179" s="29">
        <f t="shared" si="195"/>
        <v>4400</v>
      </c>
      <c r="N179" s="33">
        <f t="shared" si="191"/>
        <v>56255</v>
      </c>
      <c r="O179" s="13"/>
    </row>
    <row r="180" spans="1:15" x14ac:dyDescent="0.25">
      <c r="A180" s="7" t="s">
        <v>24</v>
      </c>
      <c r="B180" s="29">
        <f>SUM(B172:B179)</f>
        <v>11525.740000000002</v>
      </c>
      <c r="C180" s="29">
        <f t="shared" ref="C180" si="196">SUM(C172:C179)</f>
        <v>10347.51</v>
      </c>
      <c r="D180" s="29">
        <f t="shared" ref="D180" si="197">SUM(D172:D179)</f>
        <v>9276.27</v>
      </c>
      <c r="E180" s="29">
        <f t="shared" ref="E180" si="198">SUM(E172:E179)</f>
        <v>10468.92</v>
      </c>
      <c r="F180" s="29">
        <f t="shared" ref="F180" si="199">SUM(F172:F179)</f>
        <v>13496.27</v>
      </c>
      <c r="G180" s="29">
        <f t="shared" ref="G180" si="200">SUM(G172:G179)</f>
        <v>10513.34</v>
      </c>
      <c r="H180" s="29">
        <f t="shared" ref="H180" si="201">SUM(H172:H179)</f>
        <v>10317.51</v>
      </c>
      <c r="I180" s="29">
        <f t="shared" ref="I180" si="202">SUM(I172:I179)</f>
        <v>7381.89</v>
      </c>
      <c r="J180" s="29">
        <f t="shared" ref="J180" si="203">SUM(J172:J179)</f>
        <v>11282.310000000001</v>
      </c>
      <c r="K180" s="29">
        <f t="shared" ref="K180" si="204">SUM(K172:K179)</f>
        <v>7434.46</v>
      </c>
      <c r="L180" s="29">
        <f t="shared" ref="L180" si="205">SUM(L172:L179)</f>
        <v>7171.4800000000005</v>
      </c>
      <c r="M180" s="29">
        <f t="shared" ref="M180" si="206">SUM(M172:M179)</f>
        <v>12263.95</v>
      </c>
      <c r="N180" s="33">
        <f>SUM(N172:N179)</f>
        <v>121479.65000000001</v>
      </c>
      <c r="O180" s="13"/>
    </row>
    <row r="181" spans="1:15" x14ac:dyDescent="0.25">
      <c r="A181" s="7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5"/>
      <c r="O181" s="13"/>
    </row>
    <row r="182" spans="1:15" x14ac:dyDescent="0.25">
      <c r="A182" s="7" t="s">
        <v>25</v>
      </c>
      <c r="B182" s="29">
        <f>$M$130</f>
        <v>42796.615199999971</v>
      </c>
      <c r="C182" s="29">
        <f t="shared" ref="C182" si="207">SUM(B184)</f>
        <v>46545.875199999966</v>
      </c>
      <c r="D182" s="29">
        <f t="shared" ref="D182" si="208">SUM(C184)</f>
        <v>49148.365199999964</v>
      </c>
      <c r="E182" s="29">
        <f t="shared" ref="E182" si="209">SUM(D184)</f>
        <v>50422.095199999967</v>
      </c>
      <c r="F182" s="29">
        <f t="shared" ref="F182" si="210">SUM(E184)</f>
        <v>52828.175199999969</v>
      </c>
      <c r="G182" s="29">
        <f t="shared" ref="G182" si="211">SUM(F184)</f>
        <v>60431.905199999965</v>
      </c>
      <c r="H182" s="29">
        <f t="shared" ref="H182" si="212">SUM(G184)</f>
        <v>62868.565199999968</v>
      </c>
      <c r="I182" s="29">
        <f t="shared" ref="I182" si="213">SUM(H184)</f>
        <v>65426.055199999966</v>
      </c>
      <c r="J182" s="29">
        <f t="shared" ref="J182" si="214">SUM(I184)</f>
        <v>63719.165199999967</v>
      </c>
      <c r="K182" s="29">
        <f t="shared" ref="K182" si="215">SUM(J184)</f>
        <v>67311.855199999962</v>
      </c>
      <c r="L182" s="29">
        <f t="shared" ref="L182" si="216">SUM(K184)</f>
        <v>65377.395199999963</v>
      </c>
      <c r="M182" s="29">
        <f t="shared" ref="M182" si="217">SUM(L184)</f>
        <v>63218.415199999959</v>
      </c>
      <c r="N182" s="33"/>
      <c r="O182" s="13"/>
    </row>
    <row r="183" spans="1:15" x14ac:dyDescent="0.25">
      <c r="A183" s="7" t="s">
        <v>26</v>
      </c>
      <c r="B183" s="29">
        <f t="shared" ref="B183:M183" si="218">SUM(B169-B180)</f>
        <v>3749.2599999999984</v>
      </c>
      <c r="C183" s="29">
        <f t="shared" si="218"/>
        <v>2602.4899999999998</v>
      </c>
      <c r="D183" s="29">
        <f t="shared" si="218"/>
        <v>1273.7299999999996</v>
      </c>
      <c r="E183" s="29">
        <f t="shared" si="218"/>
        <v>2406.08</v>
      </c>
      <c r="F183" s="29">
        <f t="shared" si="218"/>
        <v>7603.73</v>
      </c>
      <c r="G183" s="29">
        <f t="shared" si="218"/>
        <v>2436.66</v>
      </c>
      <c r="H183" s="29">
        <f t="shared" si="218"/>
        <v>2557.4899999999998</v>
      </c>
      <c r="I183" s="29">
        <f t="shared" si="218"/>
        <v>-1706.8900000000003</v>
      </c>
      <c r="J183" s="29">
        <f t="shared" si="218"/>
        <v>3592.6899999999987</v>
      </c>
      <c r="K183" s="29">
        <f t="shared" si="218"/>
        <v>-1934.46</v>
      </c>
      <c r="L183" s="29">
        <f t="shared" si="218"/>
        <v>-2158.9800000000005</v>
      </c>
      <c r="M183" s="29">
        <f t="shared" si="218"/>
        <v>-1263.9500000000007</v>
      </c>
      <c r="N183" s="34"/>
      <c r="O183" s="13"/>
    </row>
    <row r="184" spans="1:15" x14ac:dyDescent="0.25">
      <c r="A184" s="7" t="s">
        <v>27</v>
      </c>
      <c r="B184" s="29">
        <f>SUM(B182+B183)</f>
        <v>46545.875199999966</v>
      </c>
      <c r="C184" s="29">
        <f t="shared" ref="C184:M184" si="219">SUM(C182+C183)</f>
        <v>49148.365199999964</v>
      </c>
      <c r="D184" s="29">
        <f t="shared" si="219"/>
        <v>50422.095199999967</v>
      </c>
      <c r="E184" s="29">
        <f t="shared" si="219"/>
        <v>52828.175199999969</v>
      </c>
      <c r="F184" s="29">
        <f t="shared" si="219"/>
        <v>60431.905199999965</v>
      </c>
      <c r="G184" s="29">
        <f t="shared" si="219"/>
        <v>62868.565199999968</v>
      </c>
      <c r="H184" s="29">
        <f t="shared" si="219"/>
        <v>65426.055199999966</v>
      </c>
      <c r="I184" s="29">
        <f t="shared" si="219"/>
        <v>63719.165199999967</v>
      </c>
      <c r="J184" s="29">
        <f t="shared" si="219"/>
        <v>67311.855199999962</v>
      </c>
      <c r="K184" s="29">
        <f t="shared" si="219"/>
        <v>65377.395199999963</v>
      </c>
      <c r="L184" s="29">
        <f t="shared" si="219"/>
        <v>63218.415199999959</v>
      </c>
      <c r="M184" s="29">
        <f t="shared" si="219"/>
        <v>61954.465199999962</v>
      </c>
      <c r="N184" s="34"/>
      <c r="O184" s="13"/>
    </row>
    <row r="185" spans="1:15" x14ac:dyDescent="0.25">
      <c r="A185" s="7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5"/>
      <c r="O185" s="13"/>
    </row>
    <row r="186" spans="1:15" x14ac:dyDescent="0.25">
      <c r="A186" s="7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13"/>
    </row>
    <row r="187" spans="1:15" x14ac:dyDescent="0.25">
      <c r="A187" s="7" t="s">
        <v>202</v>
      </c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x14ac:dyDescent="0.25">
      <c r="A188" s="7"/>
      <c r="B188" s="7" t="s">
        <v>4</v>
      </c>
      <c r="C188" s="7" t="s">
        <v>5</v>
      </c>
      <c r="D188" s="7" t="s">
        <v>6</v>
      </c>
      <c r="E188" s="7" t="s">
        <v>7</v>
      </c>
      <c r="F188" s="7" t="s">
        <v>8</v>
      </c>
      <c r="G188" s="7" t="s">
        <v>9</v>
      </c>
      <c r="H188" s="7" t="s">
        <v>10</v>
      </c>
      <c r="I188" s="7" t="s">
        <v>11</v>
      </c>
      <c r="J188" s="7" t="s">
        <v>12</v>
      </c>
      <c r="K188" s="7" t="s">
        <v>13</v>
      </c>
      <c r="L188" s="7" t="s">
        <v>14</v>
      </c>
      <c r="M188" s="7" t="s">
        <v>15</v>
      </c>
      <c r="N188" s="7" t="s">
        <v>3</v>
      </c>
      <c r="O188" s="13"/>
    </row>
    <row r="189" spans="1:15" x14ac:dyDescent="0.25">
      <c r="A189" s="9" t="s">
        <v>16</v>
      </c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33"/>
      <c r="O189" s="8"/>
    </row>
    <row r="190" spans="1:15" x14ac:dyDescent="0.25">
      <c r="A190" s="8" t="s">
        <v>126</v>
      </c>
      <c r="B190" s="29">
        <f>SUM(31*50*6.75)</f>
        <v>10462.5</v>
      </c>
      <c r="C190" s="29">
        <f>SUM(30*50*6.75)</f>
        <v>10125</v>
      </c>
      <c r="D190" s="29">
        <f>SUM(30*50*6.75)</f>
        <v>10125</v>
      </c>
      <c r="E190" s="29">
        <f>SUM(31*50*6.75)</f>
        <v>10462.5</v>
      </c>
      <c r="F190" s="29">
        <f>SUM(31*50*6.75)</f>
        <v>10462.5</v>
      </c>
      <c r="G190" s="29">
        <f>SUM(30*50*6.75)</f>
        <v>10125</v>
      </c>
      <c r="H190" s="29">
        <f>SUM(31*50*6.75)</f>
        <v>10462.5</v>
      </c>
      <c r="I190" s="29">
        <f>SUM(30*25*6.75)</f>
        <v>5062.5</v>
      </c>
      <c r="J190" s="29">
        <f>SUM(31*50*6.75)</f>
        <v>10462.5</v>
      </c>
      <c r="K190" s="29">
        <f>SUM(24*25*6.75)</f>
        <v>4050</v>
      </c>
      <c r="L190" s="29">
        <f>SUM(21*25*6.75)</f>
        <v>3543.75</v>
      </c>
      <c r="M190" s="29">
        <f>SUM(30*40*6.75)</f>
        <v>8100</v>
      </c>
      <c r="N190" s="33">
        <f>SUM(B190:M190)</f>
        <v>103443.75</v>
      </c>
      <c r="O190" s="8"/>
    </row>
    <row r="191" spans="1:15" x14ac:dyDescent="0.25">
      <c r="A191" s="15" t="s">
        <v>56</v>
      </c>
      <c r="B191" s="29">
        <f>SUM(3*50*16)</f>
        <v>2400</v>
      </c>
      <c r="C191" s="29">
        <v>0</v>
      </c>
      <c r="D191" s="29">
        <v>0</v>
      </c>
      <c r="E191" s="29">
        <v>0</v>
      </c>
      <c r="F191" s="29">
        <v>0</v>
      </c>
      <c r="G191" s="29">
        <v>0</v>
      </c>
      <c r="H191" s="29">
        <v>0</v>
      </c>
      <c r="I191" s="29">
        <v>0</v>
      </c>
      <c r="J191" s="29">
        <f>SUM(3*50*16)</f>
        <v>2400</v>
      </c>
      <c r="K191" s="29">
        <f>SUM(50*16)</f>
        <v>800</v>
      </c>
      <c r="L191" s="29">
        <v>0</v>
      </c>
      <c r="M191" s="29">
        <v>0</v>
      </c>
      <c r="N191" s="33">
        <f>SUM(B191:M191)</f>
        <v>5600</v>
      </c>
      <c r="O191" s="8"/>
    </row>
    <row r="192" spans="1:15" x14ac:dyDescent="0.25">
      <c r="A192" s="15" t="s">
        <v>127</v>
      </c>
      <c r="B192" s="29">
        <v>0</v>
      </c>
      <c r="C192" s="29">
        <f>SUM(4*150*4)</f>
        <v>2400</v>
      </c>
      <c r="D192" s="29">
        <v>0</v>
      </c>
      <c r="E192" s="29">
        <v>0</v>
      </c>
      <c r="F192" s="29">
        <v>0</v>
      </c>
      <c r="G192" s="29">
        <f>SUM(4*150*4)</f>
        <v>2400</v>
      </c>
      <c r="H192" s="29">
        <v>0</v>
      </c>
      <c r="I192" s="29">
        <v>0</v>
      </c>
      <c r="J192" s="29">
        <f>SUM(4*150*4)</f>
        <v>2400</v>
      </c>
      <c r="K192" s="29">
        <v>0</v>
      </c>
      <c r="L192" s="29">
        <v>0</v>
      </c>
      <c r="M192" s="29">
        <f>SUM(4*150*4)</f>
        <v>2400</v>
      </c>
      <c r="N192" s="33">
        <f t="shared" ref="N192:N194" si="220">SUM(B192:M192)</f>
        <v>9600</v>
      </c>
      <c r="O192" s="8"/>
    </row>
    <row r="193" spans="1:15" x14ac:dyDescent="0.25">
      <c r="A193" s="15" t="s">
        <v>128</v>
      </c>
      <c r="B193" s="29">
        <f>SUM(2*100*4)</f>
        <v>800</v>
      </c>
      <c r="C193" s="29">
        <f t="shared" ref="C193:E193" si="221">SUM(2*100*4)</f>
        <v>800</v>
      </c>
      <c r="D193" s="29">
        <f t="shared" si="221"/>
        <v>800</v>
      </c>
      <c r="E193" s="29">
        <f t="shared" si="221"/>
        <v>800</v>
      </c>
      <c r="F193" s="29">
        <v>0</v>
      </c>
      <c r="G193" s="29">
        <f t="shared" ref="G193:I193" si="222">SUM(2*100*4)</f>
        <v>800</v>
      </c>
      <c r="H193" s="29">
        <f t="shared" si="222"/>
        <v>800</v>
      </c>
      <c r="I193" s="29">
        <f t="shared" si="222"/>
        <v>800</v>
      </c>
      <c r="J193" s="29">
        <v>0</v>
      </c>
      <c r="K193" s="29">
        <f t="shared" ref="K193:M193" si="223">SUM(2*100*4)</f>
        <v>800</v>
      </c>
      <c r="L193" s="29">
        <f t="shared" si="223"/>
        <v>800</v>
      </c>
      <c r="M193" s="29">
        <f t="shared" si="223"/>
        <v>800</v>
      </c>
      <c r="N193" s="33">
        <f t="shared" si="220"/>
        <v>8000</v>
      </c>
      <c r="O193" s="8"/>
    </row>
    <row r="194" spans="1:15" x14ac:dyDescent="0.25">
      <c r="A194" s="15" t="s">
        <v>129</v>
      </c>
      <c r="B194" s="29">
        <f>SUM(500*4)</f>
        <v>2000</v>
      </c>
      <c r="C194" s="29">
        <v>0</v>
      </c>
      <c r="D194" s="29">
        <v>0</v>
      </c>
      <c r="E194" s="29">
        <f>SUM(500*4)</f>
        <v>2000</v>
      </c>
      <c r="F194" s="29">
        <v>0</v>
      </c>
      <c r="G194" s="29">
        <v>0</v>
      </c>
      <c r="H194" s="29">
        <f>SUM(500*4)</f>
        <v>2000</v>
      </c>
      <c r="I194" s="29">
        <v>0</v>
      </c>
      <c r="J194" s="29">
        <v>0</v>
      </c>
      <c r="K194" s="29">
        <v>0</v>
      </c>
      <c r="L194" s="29">
        <f>SUM(200*4)</f>
        <v>800</v>
      </c>
      <c r="M194" s="29">
        <v>0</v>
      </c>
      <c r="N194" s="33">
        <f t="shared" si="220"/>
        <v>6800</v>
      </c>
      <c r="O194" s="13"/>
    </row>
    <row r="195" spans="1:15" x14ac:dyDescent="0.25">
      <c r="A195" s="8" t="s">
        <v>157</v>
      </c>
      <c r="B195" s="29">
        <v>0</v>
      </c>
      <c r="C195" s="29">
        <v>0</v>
      </c>
      <c r="D195" s="29">
        <v>0</v>
      </c>
      <c r="E195" s="29">
        <v>0</v>
      </c>
      <c r="F195" s="29">
        <f>SUM(1050*6.75)+(1050*4)</f>
        <v>11287.5</v>
      </c>
      <c r="G195" s="29">
        <v>0</v>
      </c>
      <c r="H195" s="29">
        <v>0</v>
      </c>
      <c r="I195" s="29">
        <v>0</v>
      </c>
      <c r="J195" s="29">
        <v>0</v>
      </c>
      <c r="K195" s="29">
        <v>0</v>
      </c>
      <c r="L195" s="29">
        <v>0</v>
      </c>
      <c r="M195" s="29">
        <v>0</v>
      </c>
      <c r="N195" s="33">
        <f>SUM(B195:M195)</f>
        <v>11287.5</v>
      </c>
      <c r="O195" s="13"/>
    </row>
    <row r="196" spans="1:15" x14ac:dyDescent="0.25">
      <c r="A196" s="7" t="s">
        <v>22</v>
      </c>
      <c r="B196" s="29">
        <f>SUM(B190:B195)</f>
        <v>15662.5</v>
      </c>
      <c r="C196" s="29">
        <f t="shared" ref="C196:N196" si="224">SUM(C190:C195)</f>
        <v>13325</v>
      </c>
      <c r="D196" s="29">
        <f t="shared" si="224"/>
        <v>10925</v>
      </c>
      <c r="E196" s="29">
        <f t="shared" si="224"/>
        <v>13262.5</v>
      </c>
      <c r="F196" s="29">
        <f t="shared" si="224"/>
        <v>21750</v>
      </c>
      <c r="G196" s="29">
        <f t="shared" si="224"/>
        <v>13325</v>
      </c>
      <c r="H196" s="29">
        <f t="shared" si="224"/>
        <v>13262.5</v>
      </c>
      <c r="I196" s="29">
        <f t="shared" si="224"/>
        <v>5862.5</v>
      </c>
      <c r="J196" s="29">
        <f t="shared" si="224"/>
        <v>15262.5</v>
      </c>
      <c r="K196" s="29">
        <f t="shared" si="224"/>
        <v>5650</v>
      </c>
      <c r="L196" s="29">
        <f t="shared" si="224"/>
        <v>5143.75</v>
      </c>
      <c r="M196" s="29">
        <f t="shared" si="224"/>
        <v>11300</v>
      </c>
      <c r="N196" s="33">
        <f t="shared" si="224"/>
        <v>144731.25</v>
      </c>
      <c r="O196" s="13"/>
    </row>
    <row r="197" spans="1:15" x14ac:dyDescent="0.25">
      <c r="A197" s="7" t="s">
        <v>1</v>
      </c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33"/>
      <c r="O197" s="13"/>
    </row>
    <row r="198" spans="1:15" x14ac:dyDescent="0.25">
      <c r="A198" s="7" t="s">
        <v>23</v>
      </c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33"/>
      <c r="O198" s="13"/>
    </row>
    <row r="199" spans="1:15" x14ac:dyDescent="0.25">
      <c r="A199" s="8" t="s">
        <v>169</v>
      </c>
      <c r="B199" s="29">
        <f>SUM(4562/100*103)</f>
        <v>4698.8599999999997</v>
      </c>
      <c r="C199" s="29">
        <f t="shared" ref="C199:M199" si="225">SUM(4562/100*103)</f>
        <v>4698.8599999999997</v>
      </c>
      <c r="D199" s="29">
        <f t="shared" si="225"/>
        <v>4698.8599999999997</v>
      </c>
      <c r="E199" s="29">
        <f t="shared" si="225"/>
        <v>4698.8599999999997</v>
      </c>
      <c r="F199" s="29">
        <f t="shared" si="225"/>
        <v>4698.8599999999997</v>
      </c>
      <c r="G199" s="29">
        <f t="shared" si="225"/>
        <v>4698.8599999999997</v>
      </c>
      <c r="H199" s="29">
        <f t="shared" si="225"/>
        <v>4698.8599999999997</v>
      </c>
      <c r="I199" s="29">
        <f t="shared" si="225"/>
        <v>4698.8599999999997</v>
      </c>
      <c r="J199" s="29">
        <f t="shared" si="225"/>
        <v>4698.8599999999997</v>
      </c>
      <c r="K199" s="29">
        <f t="shared" si="225"/>
        <v>4698.8599999999997</v>
      </c>
      <c r="L199" s="29">
        <f t="shared" si="225"/>
        <v>4698.8599999999997</v>
      </c>
      <c r="M199" s="29">
        <f t="shared" si="225"/>
        <v>4698.8599999999997</v>
      </c>
      <c r="N199" s="33">
        <f>SUM(B199:M199)</f>
        <v>56386.32</v>
      </c>
      <c r="O199" s="13"/>
    </row>
    <row r="200" spans="1:15" x14ac:dyDescent="0.25">
      <c r="A200" s="15" t="s">
        <v>130</v>
      </c>
      <c r="B200" s="29">
        <f>SUM(359/100*103)</f>
        <v>369.77</v>
      </c>
      <c r="C200" s="29">
        <f>SUM(111/100*103)</f>
        <v>114.33000000000001</v>
      </c>
      <c r="D200" s="29">
        <v>0</v>
      </c>
      <c r="E200" s="29">
        <v>0</v>
      </c>
      <c r="F200" s="29">
        <v>0</v>
      </c>
      <c r="G200" s="29">
        <f>SUM(277/100*103)</f>
        <v>285.31</v>
      </c>
      <c r="H200" s="29">
        <f>SUM(111/100*103)</f>
        <v>114.33000000000001</v>
      </c>
      <c r="I200" s="29">
        <f>SUM(56/100*103)</f>
        <v>57.680000000000007</v>
      </c>
      <c r="J200" s="29">
        <f>SUM(276)/100*103</f>
        <v>284.27999999999997</v>
      </c>
      <c r="K200" s="29">
        <f>SUM(178)/100*103</f>
        <v>183.34</v>
      </c>
      <c r="L200" s="29">
        <f>SUM(110)/100*103</f>
        <v>113.30000000000001</v>
      </c>
      <c r="M200" s="29">
        <f>SUM(58/100*103)</f>
        <v>59.739999999999995</v>
      </c>
      <c r="N200" s="33">
        <f t="shared" ref="N200:N206" si="226">SUM(B200:M200)</f>
        <v>1582.08</v>
      </c>
      <c r="O200" s="13"/>
    </row>
    <row r="201" spans="1:15" x14ac:dyDescent="0.25">
      <c r="A201" s="15" t="s">
        <v>30</v>
      </c>
      <c r="B201" s="29">
        <v>0</v>
      </c>
      <c r="C201" s="29">
        <v>0</v>
      </c>
      <c r="D201" s="29">
        <v>0</v>
      </c>
      <c r="E201" s="29">
        <v>0</v>
      </c>
      <c r="F201" s="29">
        <v>0</v>
      </c>
      <c r="G201" s="29">
        <v>0</v>
      </c>
      <c r="H201" s="29">
        <v>0</v>
      </c>
      <c r="I201" s="29">
        <v>0</v>
      </c>
      <c r="J201" s="29">
        <v>0</v>
      </c>
      <c r="K201" s="29">
        <v>0</v>
      </c>
      <c r="L201" s="29">
        <v>0</v>
      </c>
      <c r="M201" s="29">
        <v>2750</v>
      </c>
      <c r="N201" s="33">
        <f t="shared" si="226"/>
        <v>2750</v>
      </c>
      <c r="O201" s="13"/>
    </row>
    <row r="202" spans="1:15" x14ac:dyDescent="0.25">
      <c r="A202" s="15" t="s">
        <v>64</v>
      </c>
      <c r="B202" s="29">
        <f>SUM(175/100*103)</f>
        <v>180.25</v>
      </c>
      <c r="C202" s="29">
        <f t="shared" ref="C202:M202" si="227">SUM(175/100*103)</f>
        <v>180.25</v>
      </c>
      <c r="D202" s="29">
        <f t="shared" si="227"/>
        <v>180.25</v>
      </c>
      <c r="E202" s="29">
        <f t="shared" si="227"/>
        <v>180.25</v>
      </c>
      <c r="F202" s="29">
        <f t="shared" si="227"/>
        <v>180.25</v>
      </c>
      <c r="G202" s="29">
        <f t="shared" si="227"/>
        <v>180.25</v>
      </c>
      <c r="H202" s="29">
        <f t="shared" si="227"/>
        <v>180.25</v>
      </c>
      <c r="I202" s="29">
        <f t="shared" si="227"/>
        <v>180.25</v>
      </c>
      <c r="J202" s="29">
        <f t="shared" si="227"/>
        <v>180.25</v>
      </c>
      <c r="K202" s="29">
        <f t="shared" si="227"/>
        <v>180.25</v>
      </c>
      <c r="L202" s="29">
        <f t="shared" si="227"/>
        <v>180.25</v>
      </c>
      <c r="M202" s="29">
        <f t="shared" si="227"/>
        <v>180.25</v>
      </c>
      <c r="N202" s="33">
        <f t="shared" si="226"/>
        <v>2163</v>
      </c>
      <c r="O202" s="13"/>
    </row>
    <row r="203" spans="1:15" x14ac:dyDescent="0.25">
      <c r="A203" s="15" t="s">
        <v>131</v>
      </c>
      <c r="B203" s="29">
        <f>SUM(319/100*103)</f>
        <v>328.57</v>
      </c>
      <c r="C203" s="29">
        <f t="shared" ref="C203:M203" si="228">SUM(319/100*103)</f>
        <v>328.57</v>
      </c>
      <c r="D203" s="29">
        <f t="shared" si="228"/>
        <v>328.57</v>
      </c>
      <c r="E203" s="29">
        <f t="shared" si="228"/>
        <v>328.57</v>
      </c>
      <c r="F203" s="29">
        <f t="shared" si="228"/>
        <v>328.57</v>
      </c>
      <c r="G203" s="29">
        <f t="shared" si="228"/>
        <v>328.57</v>
      </c>
      <c r="H203" s="29">
        <f t="shared" si="228"/>
        <v>328.57</v>
      </c>
      <c r="I203" s="29">
        <f t="shared" si="228"/>
        <v>328.57</v>
      </c>
      <c r="J203" s="29">
        <f t="shared" si="228"/>
        <v>328.57</v>
      </c>
      <c r="K203" s="29">
        <f t="shared" si="228"/>
        <v>328.57</v>
      </c>
      <c r="L203" s="29">
        <f t="shared" si="228"/>
        <v>328.57</v>
      </c>
      <c r="M203" s="29">
        <f t="shared" si="228"/>
        <v>328.57</v>
      </c>
      <c r="N203" s="33">
        <f t="shared" si="226"/>
        <v>3942.8400000000006</v>
      </c>
      <c r="O203" s="13"/>
    </row>
    <row r="204" spans="1:15" x14ac:dyDescent="0.25">
      <c r="A204" s="15" t="s">
        <v>32</v>
      </c>
      <c r="B204" s="29">
        <v>0</v>
      </c>
      <c r="C204" s="29">
        <v>0</v>
      </c>
      <c r="D204" s="29">
        <v>0</v>
      </c>
      <c r="E204" s="29">
        <f>SUM(263/100*103)</f>
        <v>270.89</v>
      </c>
      <c r="F204" s="29">
        <v>0</v>
      </c>
      <c r="G204" s="29">
        <v>0</v>
      </c>
      <c r="H204" s="29">
        <v>0</v>
      </c>
      <c r="I204" s="29">
        <v>0</v>
      </c>
      <c r="J204" s="29">
        <v>0</v>
      </c>
      <c r="K204" s="29">
        <v>0</v>
      </c>
      <c r="L204" s="29">
        <v>0</v>
      </c>
      <c r="M204" s="29">
        <v>0</v>
      </c>
      <c r="N204" s="33">
        <f t="shared" si="226"/>
        <v>270.89</v>
      </c>
      <c r="O204" s="13"/>
    </row>
    <row r="205" spans="1:15" x14ac:dyDescent="0.25">
      <c r="A205" s="15" t="s">
        <v>33</v>
      </c>
      <c r="B205" s="29">
        <v>0</v>
      </c>
      <c r="C205" s="29">
        <v>0</v>
      </c>
      <c r="D205" s="29">
        <v>0</v>
      </c>
      <c r="E205" s="29">
        <v>0</v>
      </c>
      <c r="F205" s="29">
        <v>0</v>
      </c>
      <c r="G205" s="29">
        <v>0</v>
      </c>
      <c r="H205" s="29">
        <v>0</v>
      </c>
      <c r="I205" s="29">
        <v>0</v>
      </c>
      <c r="J205" s="29">
        <v>0</v>
      </c>
      <c r="K205" s="29">
        <v>0</v>
      </c>
      <c r="L205" s="29">
        <v>0</v>
      </c>
      <c r="M205" s="29">
        <v>0</v>
      </c>
      <c r="N205" s="33">
        <f t="shared" si="226"/>
        <v>0</v>
      </c>
      <c r="O205" s="13"/>
    </row>
    <row r="206" spans="1:15" x14ac:dyDescent="0.25">
      <c r="A206" s="15" t="s">
        <v>132</v>
      </c>
      <c r="B206" s="29">
        <f t="shared" ref="B206:D206" si="229">SUM(B196/100*40)</f>
        <v>6265</v>
      </c>
      <c r="C206" s="29">
        <f t="shared" si="229"/>
        <v>5330</v>
      </c>
      <c r="D206" s="29">
        <f t="shared" si="229"/>
        <v>4370</v>
      </c>
      <c r="E206" s="29">
        <f>SUM(E196/100*40)</f>
        <v>5305</v>
      </c>
      <c r="F206" s="29">
        <f t="shared" ref="F206:M206" si="230">SUM(F196/100*40)</f>
        <v>8700</v>
      </c>
      <c r="G206" s="29">
        <f t="shared" si="230"/>
        <v>5330</v>
      </c>
      <c r="H206" s="29">
        <f t="shared" si="230"/>
        <v>5305</v>
      </c>
      <c r="I206" s="29">
        <f t="shared" si="230"/>
        <v>2345</v>
      </c>
      <c r="J206" s="29">
        <f t="shared" si="230"/>
        <v>6105</v>
      </c>
      <c r="K206" s="29">
        <f t="shared" si="230"/>
        <v>2260</v>
      </c>
      <c r="L206" s="29">
        <f t="shared" si="230"/>
        <v>2057.5</v>
      </c>
      <c r="M206" s="29">
        <f t="shared" si="230"/>
        <v>4520</v>
      </c>
      <c r="N206" s="33">
        <f t="shared" si="226"/>
        <v>57892.5</v>
      </c>
      <c r="O206" s="13"/>
    </row>
    <row r="207" spans="1:15" x14ac:dyDescent="0.25">
      <c r="A207" s="7" t="s">
        <v>24</v>
      </c>
      <c r="B207" s="29">
        <f>SUM(B199:B206)</f>
        <v>11842.449999999999</v>
      </c>
      <c r="C207" s="29">
        <f t="shared" ref="C207" si="231">SUM(C199:C206)</f>
        <v>10652.009999999998</v>
      </c>
      <c r="D207" s="29">
        <f t="shared" ref="D207" si="232">SUM(D199:D206)</f>
        <v>9577.68</v>
      </c>
      <c r="E207" s="29">
        <f t="shared" ref="E207" si="233">SUM(E199:E206)</f>
        <v>10783.57</v>
      </c>
      <c r="F207" s="29">
        <f t="shared" ref="F207" si="234">SUM(F199:F206)</f>
        <v>13907.68</v>
      </c>
      <c r="G207" s="29">
        <f t="shared" ref="G207" si="235">SUM(G199:G206)</f>
        <v>10822.99</v>
      </c>
      <c r="H207" s="29">
        <f t="shared" ref="H207" si="236">SUM(H199:H206)</f>
        <v>10627.009999999998</v>
      </c>
      <c r="I207" s="29">
        <f t="shared" ref="I207" si="237">SUM(I199:I206)</f>
        <v>7610.36</v>
      </c>
      <c r="J207" s="29">
        <f t="shared" ref="J207" si="238">SUM(J199:J206)</f>
        <v>11596.96</v>
      </c>
      <c r="K207" s="29">
        <f t="shared" ref="K207" si="239">SUM(K199:K206)</f>
        <v>7651.0199999999995</v>
      </c>
      <c r="L207" s="29">
        <f t="shared" ref="L207" si="240">SUM(L199:L206)</f>
        <v>7378.48</v>
      </c>
      <c r="M207" s="29">
        <f t="shared" ref="M207" si="241">SUM(M199:M206)</f>
        <v>12537.419999999998</v>
      </c>
      <c r="N207" s="33">
        <f>SUM(N199:N206)</f>
        <v>124987.63</v>
      </c>
      <c r="O207" s="13"/>
    </row>
    <row r="208" spans="1:15" x14ac:dyDescent="0.25">
      <c r="A208" s="7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5"/>
      <c r="O208" s="13"/>
    </row>
    <row r="209" spans="1:15" x14ac:dyDescent="0.25">
      <c r="A209" s="7" t="s">
        <v>25</v>
      </c>
      <c r="B209" s="29">
        <f>$M$130</f>
        <v>42796.615199999971</v>
      </c>
      <c r="C209" s="29">
        <f t="shared" ref="C209" si="242">SUM(B211)</f>
        <v>46616.665199999974</v>
      </c>
      <c r="D209" s="29">
        <f t="shared" ref="D209" si="243">SUM(C211)</f>
        <v>49289.655199999979</v>
      </c>
      <c r="E209" s="29">
        <f t="shared" ref="E209" si="244">SUM(D211)</f>
        <v>50636.975199999979</v>
      </c>
      <c r="F209" s="29">
        <f t="shared" ref="F209" si="245">SUM(E211)</f>
        <v>53115.905199999979</v>
      </c>
      <c r="G209" s="29">
        <f t="shared" ref="G209" si="246">SUM(F211)</f>
        <v>60958.225199999979</v>
      </c>
      <c r="H209" s="29">
        <f t="shared" ref="H209" si="247">SUM(G211)</f>
        <v>63460.235199999981</v>
      </c>
      <c r="I209" s="29">
        <f t="shared" ref="I209" si="248">SUM(H211)</f>
        <v>66095.725199999986</v>
      </c>
      <c r="J209" s="29">
        <f t="shared" ref="J209" si="249">SUM(I211)</f>
        <v>64347.865199999986</v>
      </c>
      <c r="K209" s="29">
        <f t="shared" ref="K209" si="250">SUM(J211)</f>
        <v>68013.405199999979</v>
      </c>
      <c r="L209" s="29">
        <f t="shared" ref="L209" si="251">SUM(K211)</f>
        <v>66012.385199999975</v>
      </c>
      <c r="M209" s="29">
        <f t="shared" ref="M209" si="252">SUM(L211)</f>
        <v>63777.655199999979</v>
      </c>
      <c r="N209" s="33"/>
      <c r="O209" s="13"/>
    </row>
    <row r="210" spans="1:15" x14ac:dyDescent="0.25">
      <c r="A210" s="7" t="s">
        <v>26</v>
      </c>
      <c r="B210" s="29">
        <f t="shared" ref="B210:M210" si="253">SUM(B196-B207)</f>
        <v>3820.0500000000011</v>
      </c>
      <c r="C210" s="29">
        <f t="shared" si="253"/>
        <v>2672.9900000000016</v>
      </c>
      <c r="D210" s="29">
        <f t="shared" si="253"/>
        <v>1347.3199999999997</v>
      </c>
      <c r="E210" s="29">
        <f t="shared" si="253"/>
        <v>2478.9300000000003</v>
      </c>
      <c r="F210" s="29">
        <f t="shared" si="253"/>
        <v>7842.32</v>
      </c>
      <c r="G210" s="29">
        <f t="shared" si="253"/>
        <v>2502.0100000000002</v>
      </c>
      <c r="H210" s="29">
        <f t="shared" si="253"/>
        <v>2635.4900000000016</v>
      </c>
      <c r="I210" s="29">
        <f t="shared" si="253"/>
        <v>-1747.8599999999997</v>
      </c>
      <c r="J210" s="29">
        <f t="shared" si="253"/>
        <v>3665.5400000000009</v>
      </c>
      <c r="K210" s="29">
        <f t="shared" si="253"/>
        <v>-2001.0199999999995</v>
      </c>
      <c r="L210" s="29">
        <f t="shared" si="253"/>
        <v>-2234.7299999999996</v>
      </c>
      <c r="M210" s="29">
        <f t="shared" si="253"/>
        <v>-1237.4199999999983</v>
      </c>
      <c r="N210" s="34"/>
      <c r="O210" s="13"/>
    </row>
    <row r="211" spans="1:15" x14ac:dyDescent="0.25">
      <c r="A211" s="7" t="s">
        <v>27</v>
      </c>
      <c r="B211" s="29">
        <f>SUM(B209+B210)</f>
        <v>46616.665199999974</v>
      </c>
      <c r="C211" s="29">
        <f t="shared" ref="C211:M211" si="254">SUM(C209+C210)</f>
        <v>49289.655199999979</v>
      </c>
      <c r="D211" s="29">
        <f t="shared" si="254"/>
        <v>50636.975199999979</v>
      </c>
      <c r="E211" s="29">
        <f t="shared" si="254"/>
        <v>53115.905199999979</v>
      </c>
      <c r="F211" s="29">
        <f t="shared" si="254"/>
        <v>60958.225199999979</v>
      </c>
      <c r="G211" s="29">
        <f t="shared" si="254"/>
        <v>63460.235199999981</v>
      </c>
      <c r="H211" s="29">
        <f t="shared" si="254"/>
        <v>66095.725199999986</v>
      </c>
      <c r="I211" s="29">
        <f t="shared" si="254"/>
        <v>64347.865199999986</v>
      </c>
      <c r="J211" s="29">
        <f t="shared" si="254"/>
        <v>68013.405199999979</v>
      </c>
      <c r="K211" s="29">
        <f t="shared" si="254"/>
        <v>66012.385199999975</v>
      </c>
      <c r="L211" s="29">
        <f t="shared" si="254"/>
        <v>63777.655199999979</v>
      </c>
      <c r="M211" s="29">
        <f t="shared" si="254"/>
        <v>62540.235199999981</v>
      </c>
      <c r="N211" s="34"/>
      <c r="O211" s="13"/>
    </row>
    <row r="212" spans="1:15" x14ac:dyDescent="0.25">
      <c r="A212" s="7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5"/>
      <c r="O212" s="13"/>
    </row>
    <row r="213" spans="1:15" x14ac:dyDescent="0.25">
      <c r="A213" s="7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13"/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0"/>
  <sheetViews>
    <sheetView workbookViewId="0">
      <selection activeCell="B90" sqref="B90"/>
    </sheetView>
  </sheetViews>
  <sheetFormatPr defaultColWidth="9.28515625" defaultRowHeight="15" x14ac:dyDescent="0.25"/>
  <cols>
    <col min="1" max="1" width="16.140625" style="5" customWidth="1"/>
    <col min="2" max="3" width="10.28515625" style="5" bestFit="1" customWidth="1"/>
    <col min="4" max="14" width="9.28515625" style="5"/>
    <col min="15" max="15" width="3.5703125" style="5" customWidth="1"/>
    <col min="16" max="16" width="15.28515625" style="5" customWidth="1"/>
    <col min="17" max="16384" width="9.28515625" style="5"/>
  </cols>
  <sheetData>
    <row r="1" spans="1:16" x14ac:dyDescent="0.25">
      <c r="A1" s="7" t="s">
        <v>109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x14ac:dyDescent="0.25">
      <c r="A2" s="7" t="s">
        <v>115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3</v>
      </c>
      <c r="O2" s="8"/>
    </row>
    <row r="3" spans="1:16" x14ac:dyDescent="0.25">
      <c r="A3" s="7" t="s">
        <v>19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3"/>
      <c r="O3" s="8"/>
    </row>
    <row r="4" spans="1:16" x14ac:dyDescent="0.25">
      <c r="A4" s="15" t="s">
        <v>110</v>
      </c>
      <c r="B4" s="29">
        <v>0</v>
      </c>
      <c r="C4" s="29">
        <v>0</v>
      </c>
      <c r="D4" s="29">
        <v>0</v>
      </c>
      <c r="E4" s="29">
        <v>0</v>
      </c>
      <c r="F4" s="29">
        <v>700</v>
      </c>
      <c r="G4" s="29">
        <v>0</v>
      </c>
      <c r="H4" s="29">
        <v>0</v>
      </c>
      <c r="I4" s="29">
        <v>0</v>
      </c>
      <c r="J4" s="29">
        <v>600</v>
      </c>
      <c r="K4" s="29">
        <v>0</v>
      </c>
      <c r="L4" s="29">
        <v>0</v>
      </c>
      <c r="M4" s="29">
        <v>600</v>
      </c>
      <c r="N4" s="33">
        <f>SUM(B4:M4)</f>
        <v>1900</v>
      </c>
      <c r="O4" s="8"/>
    </row>
    <row r="5" spans="1:16" x14ac:dyDescent="0.25">
      <c r="A5" s="15" t="s">
        <v>111</v>
      </c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f>SUM((40*125)+(2*150*10))</f>
        <v>8000</v>
      </c>
      <c r="I5" s="29">
        <v>0</v>
      </c>
      <c r="J5" s="29">
        <v>0</v>
      </c>
      <c r="K5" s="29">
        <v>0</v>
      </c>
      <c r="L5" s="29">
        <f>SUM(50*25)+(150*10)</f>
        <v>2750</v>
      </c>
      <c r="M5" s="29">
        <v>0</v>
      </c>
      <c r="N5" s="33">
        <f t="shared" ref="N5:N8" si="0">SUM(B5:M5)</f>
        <v>10750</v>
      </c>
      <c r="O5" s="8"/>
    </row>
    <row r="6" spans="1:16" x14ac:dyDescent="0.25">
      <c r="A6" s="15" t="s">
        <v>112</v>
      </c>
      <c r="B6" s="29">
        <v>0</v>
      </c>
      <c r="C6" s="29">
        <v>0</v>
      </c>
      <c r="D6" s="29">
        <v>0</v>
      </c>
      <c r="E6" s="29">
        <f>SUM(1*135)</f>
        <v>135</v>
      </c>
      <c r="F6" s="29">
        <v>0</v>
      </c>
      <c r="G6" s="29">
        <f>SUM(2*135)</f>
        <v>270</v>
      </c>
      <c r="H6" s="29">
        <f t="shared" ref="H6:M6" si="1">SUM(2*135)</f>
        <v>270</v>
      </c>
      <c r="I6" s="29">
        <f t="shared" si="1"/>
        <v>270</v>
      </c>
      <c r="J6" s="29">
        <f t="shared" si="1"/>
        <v>270</v>
      </c>
      <c r="K6" s="29">
        <f t="shared" si="1"/>
        <v>270</v>
      </c>
      <c r="L6" s="29">
        <f t="shared" si="1"/>
        <v>270</v>
      </c>
      <c r="M6" s="29">
        <f t="shared" si="1"/>
        <v>270</v>
      </c>
      <c r="N6" s="33">
        <f t="shared" si="0"/>
        <v>2025</v>
      </c>
      <c r="O6" s="8"/>
    </row>
    <row r="7" spans="1:16" x14ac:dyDescent="0.25">
      <c r="A7" s="10" t="s">
        <v>57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1160</v>
      </c>
      <c r="I7" s="29">
        <v>1160</v>
      </c>
      <c r="J7" s="29">
        <v>1160</v>
      </c>
      <c r="K7" s="29">
        <v>1160</v>
      </c>
      <c r="L7" s="29">
        <v>1160</v>
      </c>
      <c r="M7" s="29">
        <v>1160</v>
      </c>
      <c r="N7" s="33">
        <f>SUM(B7:M7)</f>
        <v>6960</v>
      </c>
      <c r="O7" s="8"/>
    </row>
    <row r="8" spans="1:16" x14ac:dyDescent="0.25">
      <c r="A8" s="8"/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33">
        <f t="shared" si="0"/>
        <v>0</v>
      </c>
      <c r="O8" s="13"/>
    </row>
    <row r="9" spans="1:16" x14ac:dyDescent="0.25">
      <c r="A9" s="7" t="s">
        <v>22</v>
      </c>
      <c r="B9" s="29">
        <f t="shared" ref="B9:N9" si="2">SUM(B4:B8)</f>
        <v>0</v>
      </c>
      <c r="C9" s="29">
        <f t="shared" si="2"/>
        <v>0</v>
      </c>
      <c r="D9" s="29">
        <f t="shared" si="2"/>
        <v>0</v>
      </c>
      <c r="E9" s="29">
        <f t="shared" si="2"/>
        <v>135</v>
      </c>
      <c r="F9" s="29">
        <f t="shared" si="2"/>
        <v>700</v>
      </c>
      <c r="G9" s="29">
        <f t="shared" si="2"/>
        <v>270</v>
      </c>
      <c r="H9" s="29">
        <f t="shared" si="2"/>
        <v>9430</v>
      </c>
      <c r="I9" s="29">
        <f t="shared" si="2"/>
        <v>1430</v>
      </c>
      <c r="J9" s="29">
        <f t="shared" si="2"/>
        <v>2030</v>
      </c>
      <c r="K9" s="29">
        <f t="shared" si="2"/>
        <v>1430</v>
      </c>
      <c r="L9" s="29">
        <f t="shared" si="2"/>
        <v>4180</v>
      </c>
      <c r="M9" s="29">
        <f t="shared" si="2"/>
        <v>2030</v>
      </c>
      <c r="N9" s="33">
        <f t="shared" si="2"/>
        <v>21635</v>
      </c>
      <c r="O9" s="13"/>
    </row>
    <row r="10" spans="1:16" x14ac:dyDescent="0.25">
      <c r="A10" s="7" t="s">
        <v>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3"/>
      <c r="O10" s="13"/>
    </row>
    <row r="11" spans="1:16" x14ac:dyDescent="0.25">
      <c r="A11" s="8" t="s">
        <v>114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f>SUM(20*70)</f>
        <v>1400</v>
      </c>
      <c r="I11" s="29">
        <v>0</v>
      </c>
      <c r="J11" s="29">
        <v>0</v>
      </c>
      <c r="K11" s="29">
        <v>0</v>
      </c>
      <c r="L11" s="29">
        <f>SUM(20*20)</f>
        <v>400</v>
      </c>
      <c r="M11" s="29">
        <v>0</v>
      </c>
      <c r="N11" s="33">
        <f>SUM(B11:M11)</f>
        <v>1800</v>
      </c>
      <c r="O11" s="13"/>
    </row>
    <row r="12" spans="1:16" x14ac:dyDescent="0.25">
      <c r="A12" s="15" t="s">
        <v>113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3">
        <f t="shared" ref="N12:N13" si="3">SUM(B12:M12)</f>
        <v>0</v>
      </c>
      <c r="O12" s="13"/>
      <c r="P12" s="5">
        <f>SUM(28*135)</f>
        <v>3780</v>
      </c>
    </row>
    <row r="13" spans="1:16" x14ac:dyDescent="0.25">
      <c r="A13" s="15" t="s">
        <v>33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2000</v>
      </c>
      <c r="I13" s="29">
        <v>0</v>
      </c>
      <c r="J13" s="29">
        <v>0</v>
      </c>
      <c r="K13" s="29">
        <v>0</v>
      </c>
      <c r="L13" s="29">
        <v>500</v>
      </c>
      <c r="M13" s="29">
        <v>0</v>
      </c>
      <c r="N13" s="33">
        <f t="shared" si="3"/>
        <v>2500</v>
      </c>
      <c r="O13" s="13"/>
    </row>
    <row r="14" spans="1:16" x14ac:dyDescent="0.25">
      <c r="A14" s="7" t="s">
        <v>24</v>
      </c>
      <c r="B14" s="29">
        <f t="shared" ref="B14" si="4">SUM(B11:B13)</f>
        <v>0</v>
      </c>
      <c r="C14" s="29">
        <f t="shared" ref="C14" si="5">SUM(C11:C13)</f>
        <v>0</v>
      </c>
      <c r="D14" s="29">
        <f t="shared" ref="D14" si="6">SUM(D11:D13)</f>
        <v>0</v>
      </c>
      <c r="E14" s="29">
        <f t="shared" ref="E14" si="7">SUM(E11:E13)</f>
        <v>0</v>
      </c>
      <c r="F14" s="29">
        <f t="shared" ref="F14" si="8">SUM(F11:F13)</f>
        <v>0</v>
      </c>
      <c r="G14" s="29">
        <f t="shared" ref="G14" si="9">SUM(G11:G13)</f>
        <v>0</v>
      </c>
      <c r="H14" s="29">
        <f t="shared" ref="H14:N14" si="10">SUM(H11:H13)</f>
        <v>3400</v>
      </c>
      <c r="I14" s="29">
        <f t="shared" si="10"/>
        <v>0</v>
      </c>
      <c r="J14" s="29">
        <f t="shared" si="10"/>
        <v>0</v>
      </c>
      <c r="K14" s="29">
        <f t="shared" si="10"/>
        <v>0</v>
      </c>
      <c r="L14" s="29">
        <f t="shared" si="10"/>
        <v>900</v>
      </c>
      <c r="M14" s="29">
        <f t="shared" si="10"/>
        <v>0</v>
      </c>
      <c r="N14" s="33">
        <f t="shared" si="10"/>
        <v>4300</v>
      </c>
      <c r="O14" s="13"/>
    </row>
    <row r="15" spans="1:16" x14ac:dyDescent="0.25">
      <c r="A15" s="11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2"/>
      <c r="O15" s="10"/>
    </row>
    <row r="16" spans="1:16" x14ac:dyDescent="0.25">
      <c r="A16" s="7" t="s">
        <v>116</v>
      </c>
      <c r="B16" s="7" t="s">
        <v>4</v>
      </c>
      <c r="C16" s="7" t="s">
        <v>5</v>
      </c>
      <c r="D16" s="7" t="s">
        <v>6</v>
      </c>
      <c r="E16" s="7" t="s">
        <v>7</v>
      </c>
      <c r="F16" s="7" t="s">
        <v>8</v>
      </c>
      <c r="G16" s="7" t="s">
        <v>9</v>
      </c>
      <c r="H16" s="7" t="s">
        <v>10</v>
      </c>
      <c r="I16" s="7" t="s">
        <v>11</v>
      </c>
      <c r="J16" s="7" t="s">
        <v>12</v>
      </c>
      <c r="K16" s="7" t="s">
        <v>13</v>
      </c>
      <c r="L16" s="7" t="s">
        <v>14</v>
      </c>
      <c r="M16" s="7" t="s">
        <v>15</v>
      </c>
      <c r="N16" s="7" t="s">
        <v>3</v>
      </c>
      <c r="O16" s="8"/>
    </row>
    <row r="17" spans="1:15" x14ac:dyDescent="0.25">
      <c r="A17" s="7" t="s">
        <v>19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3"/>
      <c r="O17" s="8"/>
    </row>
    <row r="18" spans="1:15" x14ac:dyDescent="0.25">
      <c r="A18" s="15" t="s">
        <v>110</v>
      </c>
      <c r="B18" s="29">
        <v>0</v>
      </c>
      <c r="C18" s="29">
        <f>SUM(4*150)</f>
        <v>600</v>
      </c>
      <c r="D18" s="29">
        <v>0</v>
      </c>
      <c r="E18" s="29">
        <v>0</v>
      </c>
      <c r="F18" s="29">
        <v>700</v>
      </c>
      <c r="G18" s="29">
        <v>0</v>
      </c>
      <c r="H18" s="29">
        <v>0</v>
      </c>
      <c r="I18" s="29">
        <v>0</v>
      </c>
      <c r="J18" s="29">
        <v>600</v>
      </c>
      <c r="K18" s="29">
        <v>0</v>
      </c>
      <c r="L18" s="29">
        <v>0</v>
      </c>
      <c r="M18" s="29">
        <v>600</v>
      </c>
      <c r="N18" s="33">
        <f>SUM(B18:M18)</f>
        <v>2500</v>
      </c>
      <c r="O18" s="8"/>
    </row>
    <row r="19" spans="1:15" x14ac:dyDescent="0.25">
      <c r="A19" s="15" t="s">
        <v>111</v>
      </c>
      <c r="B19" s="29">
        <f>SUM(50*125)+(2*150*10)</f>
        <v>9250</v>
      </c>
      <c r="C19" s="29">
        <v>0</v>
      </c>
      <c r="D19" s="29">
        <v>0</v>
      </c>
      <c r="E19" s="29">
        <f>SUM(60*125)+(2*150*10)</f>
        <v>10500</v>
      </c>
      <c r="F19" s="29">
        <v>0</v>
      </c>
      <c r="G19" s="29">
        <v>0</v>
      </c>
      <c r="H19" s="29">
        <f>SUM((75*125)+(2*150*10))</f>
        <v>12375</v>
      </c>
      <c r="I19" s="29">
        <v>0</v>
      </c>
      <c r="J19" s="29">
        <v>0</v>
      </c>
      <c r="K19" s="29">
        <v>0</v>
      </c>
      <c r="L19" s="29">
        <f>SUM(50*25)+(150*10)</f>
        <v>2750</v>
      </c>
      <c r="M19" s="29">
        <v>0</v>
      </c>
      <c r="N19" s="33">
        <f>SUM(B19:M19)</f>
        <v>34875</v>
      </c>
      <c r="O19" s="8"/>
    </row>
    <row r="20" spans="1:15" x14ac:dyDescent="0.25">
      <c r="A20" s="15" t="s">
        <v>112</v>
      </c>
      <c r="B20" s="29">
        <f t="shared" ref="B20:D20" si="11">SUM(2*135)</f>
        <v>270</v>
      </c>
      <c r="C20" s="29">
        <f t="shared" si="11"/>
        <v>270</v>
      </c>
      <c r="D20" s="29">
        <f t="shared" si="11"/>
        <v>270</v>
      </c>
      <c r="E20" s="29">
        <f>SUM(1*135)</f>
        <v>135</v>
      </c>
      <c r="F20" s="29">
        <v>0</v>
      </c>
      <c r="G20" s="29">
        <f>SUM(2*135)</f>
        <v>270</v>
      </c>
      <c r="H20" s="29">
        <f t="shared" ref="H20:M20" si="12">SUM(2*135)</f>
        <v>270</v>
      </c>
      <c r="I20" s="29">
        <f t="shared" si="12"/>
        <v>270</v>
      </c>
      <c r="J20" s="29">
        <f>SUM(135)</f>
        <v>135</v>
      </c>
      <c r="K20" s="29">
        <f t="shared" si="12"/>
        <v>270</v>
      </c>
      <c r="L20" s="29">
        <f t="shared" si="12"/>
        <v>270</v>
      </c>
      <c r="M20" s="29">
        <f t="shared" si="12"/>
        <v>270</v>
      </c>
      <c r="N20" s="33">
        <f t="shared" ref="N20:N21" si="13">SUM(B20:M20)</f>
        <v>2700</v>
      </c>
      <c r="O20" s="8"/>
    </row>
    <row r="21" spans="1:15" x14ac:dyDescent="0.25">
      <c r="A21" s="10" t="s">
        <v>57</v>
      </c>
      <c r="B21" s="29">
        <v>1160</v>
      </c>
      <c r="C21" s="29">
        <v>1160</v>
      </c>
      <c r="D21" s="29">
        <v>1160</v>
      </c>
      <c r="E21" s="29">
        <v>0</v>
      </c>
      <c r="F21" s="29">
        <v>0</v>
      </c>
      <c r="G21" s="29">
        <v>1160</v>
      </c>
      <c r="H21" s="29">
        <v>1160</v>
      </c>
      <c r="I21" s="29">
        <v>1160</v>
      </c>
      <c r="J21" s="29">
        <v>1160</v>
      </c>
      <c r="K21" s="29">
        <v>1160</v>
      </c>
      <c r="L21" s="29">
        <v>1160</v>
      </c>
      <c r="M21" s="29">
        <v>1160</v>
      </c>
      <c r="N21" s="33">
        <f t="shared" si="13"/>
        <v>11600</v>
      </c>
      <c r="O21" s="8"/>
    </row>
    <row r="22" spans="1:15" x14ac:dyDescent="0.25">
      <c r="A22" s="8"/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33">
        <f>SUM(B22:M22)</f>
        <v>0</v>
      </c>
      <c r="O22" s="8"/>
    </row>
    <row r="23" spans="1:15" x14ac:dyDescent="0.25">
      <c r="A23" s="7" t="s">
        <v>22</v>
      </c>
      <c r="B23" s="29">
        <f>SUM(B18:B22)</f>
        <v>10680</v>
      </c>
      <c r="C23" s="29">
        <f t="shared" ref="C23:M23" si="14">SUM(C18:C22)</f>
        <v>2030</v>
      </c>
      <c r="D23" s="29">
        <f t="shared" si="14"/>
        <v>1430</v>
      </c>
      <c r="E23" s="29">
        <f t="shared" si="14"/>
        <v>10635</v>
      </c>
      <c r="F23" s="29">
        <f t="shared" si="14"/>
        <v>700</v>
      </c>
      <c r="G23" s="29">
        <f t="shared" si="14"/>
        <v>1430</v>
      </c>
      <c r="H23" s="29">
        <f t="shared" si="14"/>
        <v>13805</v>
      </c>
      <c r="I23" s="29">
        <f t="shared" si="14"/>
        <v>1430</v>
      </c>
      <c r="J23" s="29">
        <f t="shared" si="14"/>
        <v>1895</v>
      </c>
      <c r="K23" s="29">
        <f t="shared" si="14"/>
        <v>1430</v>
      </c>
      <c r="L23" s="29">
        <f t="shared" si="14"/>
        <v>4180</v>
      </c>
      <c r="M23" s="29">
        <f t="shared" si="14"/>
        <v>2030</v>
      </c>
      <c r="N23" s="33">
        <f t="shared" ref="N23:N24" si="15">SUM(B23:M23)</f>
        <v>51675</v>
      </c>
      <c r="O23" s="8"/>
    </row>
    <row r="24" spans="1:15" x14ac:dyDescent="0.25">
      <c r="A24" s="7" t="s">
        <v>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3">
        <f t="shared" si="15"/>
        <v>0</v>
      </c>
      <c r="O24" s="13"/>
    </row>
    <row r="25" spans="1:15" x14ac:dyDescent="0.25">
      <c r="A25" s="8" t="s">
        <v>114</v>
      </c>
      <c r="B25" s="29">
        <f>SUM(20*70)</f>
        <v>1400</v>
      </c>
      <c r="C25" s="29">
        <v>0</v>
      </c>
      <c r="D25" s="29">
        <v>0</v>
      </c>
      <c r="E25" s="29">
        <f>SUM(20*70)</f>
        <v>1400</v>
      </c>
      <c r="F25" s="29">
        <v>0</v>
      </c>
      <c r="G25" s="29">
        <v>0</v>
      </c>
      <c r="H25" s="29">
        <f>SUM(20*70)</f>
        <v>1400</v>
      </c>
      <c r="I25" s="29">
        <v>0</v>
      </c>
      <c r="J25" s="29">
        <v>0</v>
      </c>
      <c r="K25" s="29">
        <v>0</v>
      </c>
      <c r="L25" s="29">
        <f>SUM(20*20)</f>
        <v>400</v>
      </c>
      <c r="M25" s="29">
        <v>0</v>
      </c>
      <c r="N25" s="33">
        <f>SUM(B25:M25)</f>
        <v>4600</v>
      </c>
      <c r="O25" s="13"/>
    </row>
    <row r="26" spans="1:15" x14ac:dyDescent="0.25">
      <c r="A26" s="15" t="s">
        <v>113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3000</v>
      </c>
      <c r="N26" s="33">
        <f t="shared" ref="N26:N27" si="16">SUM(B26:M26)</f>
        <v>3000</v>
      </c>
      <c r="O26" s="13"/>
    </row>
    <row r="27" spans="1:15" x14ac:dyDescent="0.25">
      <c r="A27" s="15" t="s">
        <v>33</v>
      </c>
      <c r="B27" s="29">
        <v>2000</v>
      </c>
      <c r="C27" s="29">
        <v>0</v>
      </c>
      <c r="D27" s="29">
        <v>0</v>
      </c>
      <c r="E27" s="29">
        <v>2000</v>
      </c>
      <c r="F27" s="29">
        <v>0</v>
      </c>
      <c r="G27" s="29">
        <v>0</v>
      </c>
      <c r="H27" s="29">
        <v>2000</v>
      </c>
      <c r="I27" s="29">
        <v>0</v>
      </c>
      <c r="J27" s="29">
        <v>0</v>
      </c>
      <c r="K27" s="29">
        <v>0</v>
      </c>
      <c r="L27" s="29">
        <v>500</v>
      </c>
      <c r="M27" s="29">
        <v>0</v>
      </c>
      <c r="N27" s="33">
        <f t="shared" si="16"/>
        <v>6500</v>
      </c>
      <c r="O27" s="13"/>
    </row>
    <row r="28" spans="1:15" x14ac:dyDescent="0.25">
      <c r="A28" s="7" t="s">
        <v>24</v>
      </c>
      <c r="B28" s="29">
        <f t="shared" ref="B28" si="17">SUM(B25:B27)</f>
        <v>3400</v>
      </c>
      <c r="C28" s="29">
        <f t="shared" ref="C28" si="18">SUM(C25:C27)</f>
        <v>0</v>
      </c>
      <c r="D28" s="29">
        <f t="shared" ref="D28" si="19">SUM(D25:D27)</f>
        <v>0</v>
      </c>
      <c r="E28" s="29">
        <f t="shared" ref="E28" si="20">SUM(E25:E27)</f>
        <v>3400</v>
      </c>
      <c r="F28" s="29">
        <f t="shared" ref="F28" si="21">SUM(F25:F27)</f>
        <v>0</v>
      </c>
      <c r="G28" s="29">
        <f t="shared" ref="G28" si="22">SUM(G25:G27)</f>
        <v>0</v>
      </c>
      <c r="H28" s="29">
        <f t="shared" ref="H28" si="23">SUM(H25:H27)</f>
        <v>3400</v>
      </c>
      <c r="I28" s="29">
        <f t="shared" ref="I28" si="24">SUM(I25:I27)</f>
        <v>0</v>
      </c>
      <c r="J28" s="29">
        <f t="shared" ref="J28" si="25">SUM(J25:J27)</f>
        <v>0</v>
      </c>
      <c r="K28" s="29">
        <f t="shared" ref="K28" si="26">SUM(K25:K27)</f>
        <v>0</v>
      </c>
      <c r="L28" s="29">
        <f t="shared" ref="L28" si="27">SUM(L25:L27)</f>
        <v>900</v>
      </c>
      <c r="M28" s="29">
        <f t="shared" ref="M28" si="28">SUM(M25:M27)</f>
        <v>3000</v>
      </c>
      <c r="N28" s="33">
        <f>SUM(B28:M28)</f>
        <v>14100</v>
      </c>
      <c r="O28" s="13"/>
    </row>
    <row r="29" spans="1:15" x14ac:dyDescent="0.25">
      <c r="A29" s="1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2"/>
      <c r="O29" s="10"/>
    </row>
    <row r="30" spans="1:15" x14ac:dyDescent="0.25">
      <c r="A30" s="7" t="s">
        <v>117</v>
      </c>
      <c r="B30" s="7" t="s">
        <v>4</v>
      </c>
      <c r="C30" s="7" t="s">
        <v>5</v>
      </c>
      <c r="D30" s="7" t="s">
        <v>6</v>
      </c>
      <c r="E30" s="7" t="s">
        <v>7</v>
      </c>
      <c r="F30" s="7" t="s">
        <v>8</v>
      </c>
      <c r="G30" s="7" t="s">
        <v>9</v>
      </c>
      <c r="H30" s="7" t="s">
        <v>10</v>
      </c>
      <c r="I30" s="7" t="s">
        <v>11</v>
      </c>
      <c r="J30" s="7" t="s">
        <v>12</v>
      </c>
      <c r="K30" s="7" t="s">
        <v>13</v>
      </c>
      <c r="L30" s="7" t="s">
        <v>14</v>
      </c>
      <c r="M30" s="7" t="s">
        <v>15</v>
      </c>
      <c r="N30" s="7" t="s">
        <v>3</v>
      </c>
      <c r="O30" s="8"/>
    </row>
    <row r="31" spans="1:15" x14ac:dyDescent="0.25">
      <c r="A31" s="7" t="s">
        <v>19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3"/>
      <c r="O31" s="8"/>
    </row>
    <row r="32" spans="1:15" x14ac:dyDescent="0.25">
      <c r="A32" s="15" t="s">
        <v>110</v>
      </c>
      <c r="B32" s="29">
        <v>0</v>
      </c>
      <c r="C32" s="29">
        <f>SUM(4*150)</f>
        <v>600</v>
      </c>
      <c r="D32" s="29">
        <v>0</v>
      </c>
      <c r="E32" s="29">
        <v>0</v>
      </c>
      <c r="F32" s="29">
        <v>700</v>
      </c>
      <c r="G32" s="29">
        <v>600</v>
      </c>
      <c r="H32" s="29">
        <v>0</v>
      </c>
      <c r="I32" s="29">
        <v>0</v>
      </c>
      <c r="J32" s="29">
        <v>600</v>
      </c>
      <c r="K32" s="29">
        <v>0</v>
      </c>
      <c r="L32" s="29">
        <v>0</v>
      </c>
      <c r="M32" s="29">
        <v>600</v>
      </c>
      <c r="N32" s="33">
        <f>SUM(B32:M32)</f>
        <v>3100</v>
      </c>
      <c r="O32" s="8"/>
    </row>
    <row r="33" spans="1:15" x14ac:dyDescent="0.25">
      <c r="A33" s="15" t="s">
        <v>111</v>
      </c>
      <c r="B33" s="29">
        <f>SUM(80*125)+(2*150*10)</f>
        <v>13000</v>
      </c>
      <c r="C33" s="29">
        <v>0</v>
      </c>
      <c r="D33" s="29">
        <v>0</v>
      </c>
      <c r="E33" s="29">
        <f>SUM(80*125)+(2*150*10)</f>
        <v>13000</v>
      </c>
      <c r="F33" s="29">
        <v>0</v>
      </c>
      <c r="G33" s="29">
        <v>0</v>
      </c>
      <c r="H33" s="29">
        <f>SUM((85*125)+(2*150*10))</f>
        <v>13625</v>
      </c>
      <c r="I33" s="29">
        <v>0</v>
      </c>
      <c r="J33" s="29">
        <v>0</v>
      </c>
      <c r="K33" s="29">
        <v>0</v>
      </c>
      <c r="L33" s="29">
        <f>SUM(60*25)+(150*10)</f>
        <v>3000</v>
      </c>
      <c r="M33" s="29">
        <v>0</v>
      </c>
      <c r="N33" s="33">
        <f>SUM(B33:M33)</f>
        <v>42625</v>
      </c>
      <c r="O33" s="8"/>
    </row>
    <row r="34" spans="1:15" x14ac:dyDescent="0.25">
      <c r="A34" s="15" t="s">
        <v>112</v>
      </c>
      <c r="B34" s="29">
        <f t="shared" ref="B34:D34" si="29">SUM(2*135)</f>
        <v>270</v>
      </c>
      <c r="C34" s="29">
        <f t="shared" si="29"/>
        <v>270</v>
      </c>
      <c r="D34" s="29">
        <f t="shared" si="29"/>
        <v>270</v>
      </c>
      <c r="E34" s="29">
        <f>SUM(1*135)</f>
        <v>135</v>
      </c>
      <c r="F34" s="29">
        <v>0</v>
      </c>
      <c r="G34" s="29">
        <f>SUM(2*135)</f>
        <v>270</v>
      </c>
      <c r="H34" s="29">
        <f t="shared" ref="H34:M34" si="30">SUM(2*135)</f>
        <v>270</v>
      </c>
      <c r="I34" s="29">
        <f t="shared" si="30"/>
        <v>270</v>
      </c>
      <c r="J34" s="29">
        <f>SUM(135)</f>
        <v>135</v>
      </c>
      <c r="K34" s="29">
        <f t="shared" si="30"/>
        <v>270</v>
      </c>
      <c r="L34" s="29">
        <f t="shared" si="30"/>
        <v>270</v>
      </c>
      <c r="M34" s="29">
        <f t="shared" si="30"/>
        <v>270</v>
      </c>
      <c r="N34" s="33">
        <f t="shared" ref="N34:N35" si="31">SUM(B34:M34)</f>
        <v>2700</v>
      </c>
      <c r="O34" s="8"/>
    </row>
    <row r="35" spans="1:15" x14ac:dyDescent="0.25">
      <c r="A35" s="10" t="s">
        <v>57</v>
      </c>
      <c r="B35" s="29">
        <v>1160</v>
      </c>
      <c r="C35" s="29">
        <v>1160</v>
      </c>
      <c r="D35" s="29">
        <v>1160</v>
      </c>
      <c r="E35" s="29">
        <v>0</v>
      </c>
      <c r="F35" s="29">
        <v>0</v>
      </c>
      <c r="G35" s="29">
        <v>1160</v>
      </c>
      <c r="H35" s="29">
        <v>1160</v>
      </c>
      <c r="I35" s="29">
        <v>1160</v>
      </c>
      <c r="J35" s="29">
        <v>1160</v>
      </c>
      <c r="K35" s="29">
        <v>1160</v>
      </c>
      <c r="L35" s="29">
        <v>1160</v>
      </c>
      <c r="M35" s="29">
        <v>1160</v>
      </c>
      <c r="N35" s="33">
        <f t="shared" si="31"/>
        <v>11600</v>
      </c>
      <c r="O35" s="8"/>
    </row>
    <row r="36" spans="1:15" x14ac:dyDescent="0.25">
      <c r="A36" s="8"/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33">
        <f>SUM(B36:M36)</f>
        <v>0</v>
      </c>
      <c r="O36" s="8"/>
    </row>
    <row r="37" spans="1:15" x14ac:dyDescent="0.25">
      <c r="A37" s="7" t="s">
        <v>22</v>
      </c>
      <c r="B37" s="29">
        <f>SUM(B32:B36)</f>
        <v>14430</v>
      </c>
      <c r="C37" s="29">
        <f t="shared" ref="C37" si="32">SUM(C32:C36)</f>
        <v>2030</v>
      </c>
      <c r="D37" s="29">
        <f t="shared" ref="D37" si="33">SUM(D32:D36)</f>
        <v>1430</v>
      </c>
      <c r="E37" s="29">
        <f t="shared" ref="E37" si="34">SUM(E32:E36)</f>
        <v>13135</v>
      </c>
      <c r="F37" s="29">
        <f t="shared" ref="F37" si="35">SUM(F32:F36)</f>
        <v>700</v>
      </c>
      <c r="G37" s="29">
        <f t="shared" ref="G37" si="36">SUM(G32:G36)</f>
        <v>2030</v>
      </c>
      <c r="H37" s="29">
        <f t="shared" ref="H37" si="37">SUM(H32:H36)</f>
        <v>15055</v>
      </c>
      <c r="I37" s="29">
        <f t="shared" ref="I37" si="38">SUM(I32:I36)</f>
        <v>1430</v>
      </c>
      <c r="J37" s="29">
        <f t="shared" ref="J37" si="39">SUM(J32:J36)</f>
        <v>1895</v>
      </c>
      <c r="K37" s="29">
        <f t="shared" ref="K37" si="40">SUM(K32:K36)</f>
        <v>1430</v>
      </c>
      <c r="L37" s="29">
        <f t="shared" ref="L37" si="41">SUM(L32:L36)</f>
        <v>4430</v>
      </c>
      <c r="M37" s="29">
        <f t="shared" ref="M37" si="42">SUM(M32:M36)</f>
        <v>2030</v>
      </c>
      <c r="N37" s="33">
        <f t="shared" ref="N37:N38" si="43">SUM(B37:M37)</f>
        <v>60025</v>
      </c>
      <c r="O37" s="8"/>
    </row>
    <row r="38" spans="1:15" x14ac:dyDescent="0.25">
      <c r="A38" s="7" t="s">
        <v>1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33">
        <f t="shared" si="43"/>
        <v>0</v>
      </c>
      <c r="O38" s="13"/>
    </row>
    <row r="39" spans="1:15" x14ac:dyDescent="0.25">
      <c r="A39" s="8" t="s">
        <v>114</v>
      </c>
      <c r="B39" s="29">
        <f>SUM(20*140)</f>
        <v>2800</v>
      </c>
      <c r="C39" s="29">
        <v>0</v>
      </c>
      <c r="D39" s="29">
        <v>0</v>
      </c>
      <c r="E39" s="29">
        <f>SUM(20*140)</f>
        <v>2800</v>
      </c>
      <c r="F39" s="29">
        <v>0</v>
      </c>
      <c r="G39" s="29">
        <v>0</v>
      </c>
      <c r="H39" s="29">
        <f>SUM(20*140)</f>
        <v>2800</v>
      </c>
      <c r="I39" s="29">
        <v>0</v>
      </c>
      <c r="J39" s="29">
        <v>0</v>
      </c>
      <c r="K39" s="29">
        <v>0</v>
      </c>
      <c r="L39" s="29">
        <f>SUM(40*20)</f>
        <v>800</v>
      </c>
      <c r="M39" s="29">
        <v>0</v>
      </c>
      <c r="N39" s="33">
        <f>SUM(B39:M39)</f>
        <v>9200</v>
      </c>
      <c r="O39" s="13"/>
    </row>
    <row r="40" spans="1:15" x14ac:dyDescent="0.25">
      <c r="A40" s="15" t="s">
        <v>113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3000</v>
      </c>
      <c r="N40" s="33">
        <f t="shared" ref="N40:N41" si="44">SUM(B40:M40)</f>
        <v>3000</v>
      </c>
      <c r="O40" s="13"/>
    </row>
    <row r="41" spans="1:15" x14ac:dyDescent="0.25">
      <c r="A41" s="15" t="s">
        <v>33</v>
      </c>
      <c r="B41" s="29">
        <v>2500</v>
      </c>
      <c r="C41" s="29">
        <v>0</v>
      </c>
      <c r="D41" s="29">
        <v>0</v>
      </c>
      <c r="E41" s="29">
        <v>2500</v>
      </c>
      <c r="F41" s="29">
        <v>0</v>
      </c>
      <c r="G41" s="29">
        <v>0</v>
      </c>
      <c r="H41" s="29">
        <v>2500</v>
      </c>
      <c r="I41" s="29">
        <v>0</v>
      </c>
      <c r="J41" s="29">
        <v>0</v>
      </c>
      <c r="K41" s="29">
        <v>0</v>
      </c>
      <c r="L41" s="29">
        <v>650</v>
      </c>
      <c r="M41" s="29">
        <v>0</v>
      </c>
      <c r="N41" s="33">
        <f t="shared" si="44"/>
        <v>8150</v>
      </c>
      <c r="O41" s="13"/>
    </row>
    <row r="42" spans="1:15" x14ac:dyDescent="0.25">
      <c r="A42" s="7" t="s">
        <v>24</v>
      </c>
      <c r="B42" s="29">
        <f t="shared" ref="B42" si="45">SUM(B39:B41)</f>
        <v>5300</v>
      </c>
      <c r="C42" s="29">
        <f t="shared" ref="C42" si="46">SUM(C39:C41)</f>
        <v>0</v>
      </c>
      <c r="D42" s="29">
        <f t="shared" ref="D42" si="47">SUM(D39:D41)</f>
        <v>0</v>
      </c>
      <c r="E42" s="29">
        <f t="shared" ref="E42" si="48">SUM(E39:E41)</f>
        <v>5300</v>
      </c>
      <c r="F42" s="29">
        <f t="shared" ref="F42" si="49">SUM(F39:F41)</f>
        <v>0</v>
      </c>
      <c r="G42" s="29">
        <f t="shared" ref="G42" si="50">SUM(G39:G41)</f>
        <v>0</v>
      </c>
      <c r="H42" s="29">
        <f t="shared" ref="H42" si="51">SUM(H39:H41)</f>
        <v>5300</v>
      </c>
      <c r="I42" s="29">
        <f t="shared" ref="I42" si="52">SUM(I39:I41)</f>
        <v>0</v>
      </c>
      <c r="J42" s="29">
        <f t="shared" ref="J42" si="53">SUM(J39:J41)</f>
        <v>0</v>
      </c>
      <c r="K42" s="29">
        <f t="shared" ref="K42" si="54">SUM(K39:K41)</f>
        <v>0</v>
      </c>
      <c r="L42" s="29">
        <f t="shared" ref="L42" si="55">SUM(L39:L41)</f>
        <v>1450</v>
      </c>
      <c r="M42" s="29">
        <f t="shared" ref="M42" si="56">SUM(M39:M41)</f>
        <v>3000</v>
      </c>
      <c r="N42" s="33">
        <f>SUM(B42:M42)</f>
        <v>20350</v>
      </c>
      <c r="O42" s="13"/>
    </row>
    <row r="43" spans="1:15" x14ac:dyDescent="0.25">
      <c r="A43" s="11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2"/>
      <c r="O43" s="10"/>
    </row>
    <row r="44" spans="1:15" x14ac:dyDescent="0.25">
      <c r="A44" s="7" t="s">
        <v>155</v>
      </c>
      <c r="B44" s="7" t="s">
        <v>4</v>
      </c>
      <c r="C44" s="7" t="s">
        <v>5</v>
      </c>
      <c r="D44" s="7" t="s">
        <v>6</v>
      </c>
      <c r="E44" s="7" t="s">
        <v>7</v>
      </c>
      <c r="F44" s="7" t="s">
        <v>8</v>
      </c>
      <c r="G44" s="7" t="s">
        <v>9</v>
      </c>
      <c r="H44" s="7" t="s">
        <v>10</v>
      </c>
      <c r="I44" s="7" t="s">
        <v>11</v>
      </c>
      <c r="J44" s="7" t="s">
        <v>12</v>
      </c>
      <c r="K44" s="7" t="s">
        <v>13</v>
      </c>
      <c r="L44" s="7" t="s">
        <v>14</v>
      </c>
      <c r="M44" s="7" t="s">
        <v>15</v>
      </c>
      <c r="N44" s="7" t="s">
        <v>3</v>
      </c>
      <c r="O44" s="8"/>
    </row>
    <row r="45" spans="1:15" x14ac:dyDescent="0.25">
      <c r="A45" s="7" t="s">
        <v>19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3"/>
      <c r="O45" s="8"/>
    </row>
    <row r="46" spans="1:15" x14ac:dyDescent="0.25">
      <c r="A46" s="15" t="s">
        <v>110</v>
      </c>
      <c r="B46" s="29">
        <v>0</v>
      </c>
      <c r="C46" s="29">
        <f>SUM(4*150)/100*103</f>
        <v>618</v>
      </c>
      <c r="D46" s="29">
        <v>0</v>
      </c>
      <c r="E46" s="29">
        <v>0</v>
      </c>
      <c r="F46" s="29">
        <f>SUM(700/100*103)</f>
        <v>721</v>
      </c>
      <c r="G46" s="29">
        <f>SUM(4*150)/100*103</f>
        <v>618</v>
      </c>
      <c r="H46" s="29">
        <v>0</v>
      </c>
      <c r="I46" s="29">
        <v>0</v>
      </c>
      <c r="J46" s="29">
        <f>SUM(4*150)/100*103</f>
        <v>618</v>
      </c>
      <c r="K46" s="29">
        <v>0</v>
      </c>
      <c r="L46" s="29">
        <v>0</v>
      </c>
      <c r="M46" s="29">
        <f>SUM(4*150)/100*103</f>
        <v>618</v>
      </c>
      <c r="N46" s="33">
        <f>SUM(B46:M46)</f>
        <v>3193</v>
      </c>
      <c r="O46" s="8"/>
    </row>
    <row r="47" spans="1:15" x14ac:dyDescent="0.25">
      <c r="A47" s="15" t="s">
        <v>111</v>
      </c>
      <c r="B47" s="29">
        <f>SUM(90*125)+(3*150*10)</f>
        <v>15750</v>
      </c>
      <c r="C47" s="29">
        <v>0</v>
      </c>
      <c r="D47" s="29">
        <v>0</v>
      </c>
      <c r="E47" s="29">
        <f>SUM(90*125)+(3*150*10)</f>
        <v>15750</v>
      </c>
      <c r="F47" s="29">
        <v>0</v>
      </c>
      <c r="G47" s="29">
        <v>0</v>
      </c>
      <c r="H47" s="29">
        <f>SUM(90*125)+(3*150*10)</f>
        <v>15750</v>
      </c>
      <c r="I47" s="29">
        <v>0</v>
      </c>
      <c r="J47" s="29">
        <v>0</v>
      </c>
      <c r="K47" s="29">
        <v>0</v>
      </c>
      <c r="L47" s="29">
        <f>SUM(75*25)+(150*10)</f>
        <v>3375</v>
      </c>
      <c r="M47" s="29">
        <v>0</v>
      </c>
      <c r="N47" s="33">
        <f>SUM(B47:M47)</f>
        <v>50625</v>
      </c>
      <c r="O47" s="8"/>
    </row>
    <row r="48" spans="1:15" x14ac:dyDescent="0.25">
      <c r="A48" s="15" t="s">
        <v>112</v>
      </c>
      <c r="B48" s="29">
        <f>SUM(2*135)/100*103</f>
        <v>278.10000000000002</v>
      </c>
      <c r="C48" s="29">
        <f t="shared" ref="C48:D48" si="57">SUM(2*135)/100*103</f>
        <v>278.10000000000002</v>
      </c>
      <c r="D48" s="29">
        <f t="shared" si="57"/>
        <v>278.10000000000002</v>
      </c>
      <c r="E48" s="29">
        <f>SUM(1*135)/100*103</f>
        <v>139.05000000000001</v>
      </c>
      <c r="F48" s="29">
        <v>0</v>
      </c>
      <c r="G48" s="29">
        <f t="shared" ref="G48:M48" si="58">SUM(2*135)/100*103</f>
        <v>278.10000000000002</v>
      </c>
      <c r="H48" s="29">
        <f t="shared" si="58"/>
        <v>278.10000000000002</v>
      </c>
      <c r="I48" s="29">
        <f t="shared" si="58"/>
        <v>278.10000000000002</v>
      </c>
      <c r="J48" s="29">
        <f>SUM(1*135)/100*103</f>
        <v>139.05000000000001</v>
      </c>
      <c r="K48" s="29">
        <f t="shared" si="58"/>
        <v>278.10000000000002</v>
      </c>
      <c r="L48" s="29">
        <f t="shared" si="58"/>
        <v>278.10000000000002</v>
      </c>
      <c r="M48" s="29">
        <f t="shared" si="58"/>
        <v>278.10000000000002</v>
      </c>
      <c r="N48" s="33">
        <f t="shared" ref="N48:N49" si="59">SUM(B48:M48)</f>
        <v>2781</v>
      </c>
      <c r="O48" s="8"/>
    </row>
    <row r="49" spans="1:15" x14ac:dyDescent="0.25">
      <c r="A49" s="3" t="s">
        <v>55</v>
      </c>
      <c r="B49" s="29">
        <f>SUM(1160/100*103)</f>
        <v>1194.8</v>
      </c>
      <c r="C49" s="29">
        <f t="shared" ref="C49:D49" si="60">SUM(1160/100*103)</f>
        <v>1194.8</v>
      </c>
      <c r="D49" s="29">
        <f t="shared" si="60"/>
        <v>1194.8</v>
      </c>
      <c r="E49" s="29">
        <v>0</v>
      </c>
      <c r="F49" s="29">
        <v>0</v>
      </c>
      <c r="G49" s="29">
        <f t="shared" ref="G49:M49" si="61">SUM(1160/100*103)</f>
        <v>1194.8</v>
      </c>
      <c r="H49" s="29">
        <f t="shared" si="61"/>
        <v>1194.8</v>
      </c>
      <c r="I49" s="29">
        <f t="shared" si="61"/>
        <v>1194.8</v>
      </c>
      <c r="J49" s="29">
        <f t="shared" si="61"/>
        <v>1194.8</v>
      </c>
      <c r="K49" s="29">
        <f t="shared" si="61"/>
        <v>1194.8</v>
      </c>
      <c r="L49" s="29">
        <f t="shared" si="61"/>
        <v>1194.8</v>
      </c>
      <c r="M49" s="29">
        <f t="shared" si="61"/>
        <v>1194.8</v>
      </c>
      <c r="N49" s="33">
        <f t="shared" si="59"/>
        <v>11947.999999999998</v>
      </c>
      <c r="O49" s="8"/>
    </row>
    <row r="50" spans="1:15" x14ac:dyDescent="0.25">
      <c r="A50" s="10" t="s">
        <v>57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33">
        <f>SUM(B50:M50)</f>
        <v>0</v>
      </c>
      <c r="O50" s="8"/>
    </row>
    <row r="51" spans="1:15" x14ac:dyDescent="0.25">
      <c r="A51" s="7" t="s">
        <v>22</v>
      </c>
      <c r="B51" s="29">
        <f>SUM(B46:B50)</f>
        <v>17222.900000000001</v>
      </c>
      <c r="C51" s="29">
        <f t="shared" ref="C51" si="62">SUM(C46:C50)</f>
        <v>2090.9</v>
      </c>
      <c r="D51" s="29">
        <f t="shared" ref="D51" si="63">SUM(D46:D50)</f>
        <v>1472.9</v>
      </c>
      <c r="E51" s="29">
        <f t="shared" ref="E51" si="64">SUM(E46:E50)</f>
        <v>15889.05</v>
      </c>
      <c r="F51" s="29">
        <f t="shared" ref="F51" si="65">SUM(F46:F50)</f>
        <v>721</v>
      </c>
      <c r="G51" s="29">
        <f t="shared" ref="G51" si="66">SUM(G46:G50)</f>
        <v>2090.9</v>
      </c>
      <c r="H51" s="29">
        <f t="shared" ref="H51" si="67">SUM(H46:H50)</f>
        <v>17222.900000000001</v>
      </c>
      <c r="I51" s="29">
        <f t="shared" ref="I51" si="68">SUM(I46:I50)</f>
        <v>1472.9</v>
      </c>
      <c r="J51" s="29">
        <f t="shared" ref="J51" si="69">SUM(J46:J50)</f>
        <v>1951.85</v>
      </c>
      <c r="K51" s="29">
        <f t="shared" ref="K51" si="70">SUM(K46:K50)</f>
        <v>1472.9</v>
      </c>
      <c r="L51" s="29">
        <f t="shared" ref="L51" si="71">SUM(L46:L50)</f>
        <v>4847.8999999999996</v>
      </c>
      <c r="M51" s="29">
        <f t="shared" ref="M51" si="72">SUM(M46:M50)</f>
        <v>2090.9</v>
      </c>
      <c r="N51" s="33">
        <f t="shared" ref="N51:N52" si="73">SUM(B51:M51)</f>
        <v>68547</v>
      </c>
      <c r="O51" s="8"/>
    </row>
    <row r="52" spans="1:15" x14ac:dyDescent="0.25">
      <c r="A52" s="7" t="s">
        <v>1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33">
        <f t="shared" si="73"/>
        <v>0</v>
      </c>
      <c r="O52" s="13"/>
    </row>
    <row r="53" spans="1:15" x14ac:dyDescent="0.25">
      <c r="A53" s="8" t="s">
        <v>114</v>
      </c>
      <c r="B53" s="29">
        <f>SUM(20*175)</f>
        <v>3500</v>
      </c>
      <c r="C53" s="29">
        <v>0</v>
      </c>
      <c r="D53" s="29">
        <v>0</v>
      </c>
      <c r="E53" s="29">
        <f>SUM(20*175)</f>
        <v>3500</v>
      </c>
      <c r="F53" s="29">
        <v>0</v>
      </c>
      <c r="G53" s="29">
        <v>0</v>
      </c>
      <c r="H53" s="29">
        <f>SUM(20*175)</f>
        <v>3500</v>
      </c>
      <c r="I53" s="29">
        <v>0</v>
      </c>
      <c r="J53" s="29">
        <v>0</v>
      </c>
      <c r="K53" s="29">
        <v>0</v>
      </c>
      <c r="L53" s="29">
        <f>SUM(50*20)</f>
        <v>1000</v>
      </c>
      <c r="M53" s="29">
        <v>0</v>
      </c>
      <c r="N53" s="33">
        <f>SUM(B53:M53)</f>
        <v>11500</v>
      </c>
      <c r="O53" s="13"/>
    </row>
    <row r="54" spans="1:15" x14ac:dyDescent="0.25">
      <c r="A54" s="15" t="s">
        <v>113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3250</v>
      </c>
      <c r="N54" s="33">
        <f t="shared" ref="N54:N55" si="74">SUM(B54:M54)</f>
        <v>3250</v>
      </c>
      <c r="O54" s="13"/>
    </row>
    <row r="55" spans="1:15" x14ac:dyDescent="0.25">
      <c r="A55" s="15" t="s">
        <v>33</v>
      </c>
      <c r="B55" s="29">
        <v>3250</v>
      </c>
      <c r="C55" s="29">
        <v>0</v>
      </c>
      <c r="D55" s="29">
        <v>0</v>
      </c>
      <c r="E55" s="29">
        <v>3250</v>
      </c>
      <c r="F55" s="29">
        <v>0</v>
      </c>
      <c r="G55" s="29">
        <v>0</v>
      </c>
      <c r="H55" s="29">
        <v>3250</v>
      </c>
      <c r="I55" s="29">
        <v>0</v>
      </c>
      <c r="J55" s="29">
        <v>0</v>
      </c>
      <c r="K55" s="29">
        <v>0</v>
      </c>
      <c r="L55" s="29">
        <f>SUM(1000)</f>
        <v>1000</v>
      </c>
      <c r="M55" s="29">
        <v>0</v>
      </c>
      <c r="N55" s="33">
        <f t="shared" si="74"/>
        <v>10750</v>
      </c>
      <c r="O55" s="13"/>
    </row>
    <row r="56" spans="1:15" x14ac:dyDescent="0.25">
      <c r="A56" s="7" t="s">
        <v>24</v>
      </c>
      <c r="B56" s="29">
        <f t="shared" ref="B56" si="75">SUM(B53:B55)</f>
        <v>6750</v>
      </c>
      <c r="C56" s="29">
        <f t="shared" ref="C56" si="76">SUM(C53:C55)</f>
        <v>0</v>
      </c>
      <c r="D56" s="29">
        <f t="shared" ref="D56" si="77">SUM(D53:D55)</f>
        <v>0</v>
      </c>
      <c r="E56" s="29">
        <f t="shared" ref="E56" si="78">SUM(E53:E55)</f>
        <v>6750</v>
      </c>
      <c r="F56" s="29">
        <f t="shared" ref="F56" si="79">SUM(F53:F55)</f>
        <v>0</v>
      </c>
      <c r="G56" s="29">
        <f t="shared" ref="G56" si="80">SUM(G53:G55)</f>
        <v>0</v>
      </c>
      <c r="H56" s="29">
        <f t="shared" ref="H56" si="81">SUM(H53:H55)</f>
        <v>6750</v>
      </c>
      <c r="I56" s="29">
        <f t="shared" ref="I56" si="82">SUM(I53:I55)</f>
        <v>0</v>
      </c>
      <c r="J56" s="29">
        <f t="shared" ref="J56" si="83">SUM(J53:J55)</f>
        <v>0</v>
      </c>
      <c r="K56" s="29">
        <f t="shared" ref="K56" si="84">SUM(K53:K55)</f>
        <v>0</v>
      </c>
      <c r="L56" s="29">
        <f t="shared" ref="L56" si="85">SUM(L53:L55)</f>
        <v>2000</v>
      </c>
      <c r="M56" s="29">
        <f t="shared" ref="M56" si="86">SUM(M53:M55)</f>
        <v>3250</v>
      </c>
      <c r="N56" s="33">
        <f>SUM(B56:M56)</f>
        <v>25500</v>
      </c>
      <c r="O56" s="13"/>
    </row>
    <row r="57" spans="1:15" x14ac:dyDescent="0.25">
      <c r="A57" s="11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12"/>
      <c r="O57" s="10"/>
    </row>
    <row r="58" spans="1:15" x14ac:dyDescent="0.25">
      <c r="A58" s="7" t="s">
        <v>194</v>
      </c>
      <c r="B58" s="7" t="s">
        <v>4</v>
      </c>
      <c r="C58" s="7" t="s">
        <v>5</v>
      </c>
      <c r="D58" s="7" t="s">
        <v>6</v>
      </c>
      <c r="E58" s="7" t="s">
        <v>7</v>
      </c>
      <c r="F58" s="7" t="s">
        <v>8</v>
      </c>
      <c r="G58" s="7" t="s">
        <v>9</v>
      </c>
      <c r="H58" s="7" t="s">
        <v>10</v>
      </c>
      <c r="I58" s="7" t="s">
        <v>11</v>
      </c>
      <c r="J58" s="7" t="s">
        <v>12</v>
      </c>
      <c r="K58" s="7" t="s">
        <v>13</v>
      </c>
      <c r="L58" s="7" t="s">
        <v>14</v>
      </c>
      <c r="M58" s="7" t="s">
        <v>15</v>
      </c>
      <c r="N58" s="7" t="s">
        <v>3</v>
      </c>
      <c r="O58" s="8"/>
    </row>
    <row r="59" spans="1:15" x14ac:dyDescent="0.25">
      <c r="A59" s="7" t="s">
        <v>19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3"/>
      <c r="O59" s="8"/>
    </row>
    <row r="60" spans="1:15" x14ac:dyDescent="0.25">
      <c r="A60" s="15" t="s">
        <v>110</v>
      </c>
      <c r="B60" s="29">
        <v>0</v>
      </c>
      <c r="C60" s="29">
        <f>SUM((637)/100*103)</f>
        <v>656.11</v>
      </c>
      <c r="D60" s="29">
        <v>0</v>
      </c>
      <c r="E60" s="29">
        <v>0</v>
      </c>
      <c r="F60" s="29">
        <f>SUM(743/100*103)</f>
        <v>765.29</v>
      </c>
      <c r="G60" s="29">
        <f>SUM((637)/100*103)</f>
        <v>656.11</v>
      </c>
      <c r="H60" s="29">
        <v>0</v>
      </c>
      <c r="I60" s="29">
        <v>0</v>
      </c>
      <c r="J60" s="29">
        <f>SUM((637)/100*103)</f>
        <v>656.11</v>
      </c>
      <c r="K60" s="29">
        <v>0</v>
      </c>
      <c r="L60" s="29">
        <v>0</v>
      </c>
      <c r="M60" s="29">
        <f>SUM((4*150)/100*103)/100*103</f>
        <v>636.54</v>
      </c>
      <c r="N60" s="33">
        <f>SUM(B60:M60)</f>
        <v>3370.1600000000003</v>
      </c>
      <c r="O60" s="8"/>
    </row>
    <row r="61" spans="1:15" x14ac:dyDescent="0.25">
      <c r="A61" s="15" t="s">
        <v>111</v>
      </c>
      <c r="B61" s="29">
        <f>SUM(100*125)+(3*150*10)</f>
        <v>17000</v>
      </c>
      <c r="C61" s="29">
        <v>0</v>
      </c>
      <c r="D61" s="29">
        <v>0</v>
      </c>
      <c r="E61" s="29">
        <f>SUM(100*125)+(3*150*10)</f>
        <v>17000</v>
      </c>
      <c r="F61" s="29">
        <v>0</v>
      </c>
      <c r="G61" s="29">
        <v>0</v>
      </c>
      <c r="H61" s="29">
        <f>SUM(100*125)+(3*150*10)</f>
        <v>17000</v>
      </c>
      <c r="I61" s="29">
        <v>0</v>
      </c>
      <c r="J61" s="29">
        <v>0</v>
      </c>
      <c r="K61" s="29">
        <v>0</v>
      </c>
      <c r="L61" s="29">
        <f>SUM(75*25)+(150*10)</f>
        <v>3375</v>
      </c>
      <c r="M61" s="29">
        <v>0</v>
      </c>
      <c r="N61" s="33">
        <f>SUM(B61:M61)</f>
        <v>54375</v>
      </c>
      <c r="O61" s="8"/>
    </row>
    <row r="62" spans="1:15" x14ac:dyDescent="0.25">
      <c r="A62" s="15" t="s">
        <v>112</v>
      </c>
      <c r="B62" s="29">
        <f>SUM(286)/100*103</f>
        <v>294.58</v>
      </c>
      <c r="C62" s="29">
        <f t="shared" ref="C62:D62" si="87">SUM(286)/100*103</f>
        <v>294.58</v>
      </c>
      <c r="D62" s="29">
        <f t="shared" si="87"/>
        <v>294.58</v>
      </c>
      <c r="E62" s="29">
        <f>SUM(143)/100*103</f>
        <v>147.29</v>
      </c>
      <c r="F62" s="29">
        <v>0</v>
      </c>
      <c r="G62" s="29">
        <f t="shared" ref="G62:I62" si="88">SUM(286)/100*103</f>
        <v>294.58</v>
      </c>
      <c r="H62" s="29">
        <f t="shared" si="88"/>
        <v>294.58</v>
      </c>
      <c r="I62" s="29">
        <f t="shared" si="88"/>
        <v>294.58</v>
      </c>
      <c r="J62" s="29">
        <f>SUM(147)/100*103</f>
        <v>151.41</v>
      </c>
      <c r="K62" s="29">
        <f t="shared" ref="K62:M62" si="89">SUM(286)/100*103</f>
        <v>294.58</v>
      </c>
      <c r="L62" s="29">
        <f t="shared" si="89"/>
        <v>294.58</v>
      </c>
      <c r="M62" s="29">
        <f t="shared" si="89"/>
        <v>294.58</v>
      </c>
      <c r="N62" s="33">
        <f t="shared" ref="N62:N63" si="90">SUM(B62:M62)</f>
        <v>2949.9199999999996</v>
      </c>
      <c r="O62" s="8"/>
    </row>
    <row r="63" spans="1:15" x14ac:dyDescent="0.25">
      <c r="A63" s="3" t="s">
        <v>55</v>
      </c>
      <c r="B63" s="29">
        <f>SUM(1231/100*103)</f>
        <v>1267.93</v>
      </c>
      <c r="C63" s="29">
        <f t="shared" ref="C63:D63" si="91">SUM(1231/100*103)</f>
        <v>1267.93</v>
      </c>
      <c r="D63" s="29">
        <f t="shared" si="91"/>
        <v>1267.93</v>
      </c>
      <c r="E63" s="29">
        <v>0</v>
      </c>
      <c r="F63" s="29">
        <v>0</v>
      </c>
      <c r="G63" s="29">
        <f t="shared" ref="G63:M63" si="92">SUM(1231/100*103)</f>
        <v>1267.93</v>
      </c>
      <c r="H63" s="29">
        <f t="shared" si="92"/>
        <v>1267.93</v>
      </c>
      <c r="I63" s="29">
        <f t="shared" si="92"/>
        <v>1267.93</v>
      </c>
      <c r="J63" s="29">
        <f t="shared" si="92"/>
        <v>1267.93</v>
      </c>
      <c r="K63" s="29">
        <f t="shared" si="92"/>
        <v>1267.93</v>
      </c>
      <c r="L63" s="29">
        <f t="shared" si="92"/>
        <v>1267.93</v>
      </c>
      <c r="M63" s="29">
        <f t="shared" si="92"/>
        <v>1267.93</v>
      </c>
      <c r="N63" s="33">
        <f t="shared" si="90"/>
        <v>12679.300000000001</v>
      </c>
      <c r="O63" s="8"/>
    </row>
    <row r="64" spans="1:15" x14ac:dyDescent="0.25">
      <c r="A64" s="10" t="s">
        <v>57</v>
      </c>
      <c r="B64" s="29">
        <v>0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33">
        <f>SUM(B64:M64)</f>
        <v>0</v>
      </c>
      <c r="O64" s="8"/>
    </row>
    <row r="65" spans="1:15" x14ac:dyDescent="0.25">
      <c r="A65" s="7" t="s">
        <v>22</v>
      </c>
      <c r="B65" s="29">
        <f>SUM(B60:B64)</f>
        <v>18562.510000000002</v>
      </c>
      <c r="C65" s="29">
        <f t="shared" ref="C65" si="93">SUM(C60:C64)</f>
        <v>2218.62</v>
      </c>
      <c r="D65" s="29">
        <f t="shared" ref="D65" si="94">SUM(D60:D64)</f>
        <v>1562.51</v>
      </c>
      <c r="E65" s="29">
        <f t="shared" ref="E65" si="95">SUM(E60:E64)</f>
        <v>17147.29</v>
      </c>
      <c r="F65" s="29">
        <f t="shared" ref="F65" si="96">SUM(F60:F64)</f>
        <v>765.29</v>
      </c>
      <c r="G65" s="29">
        <f t="shared" ref="G65" si="97">SUM(G60:G64)</f>
        <v>2218.62</v>
      </c>
      <c r="H65" s="29">
        <f t="shared" ref="H65" si="98">SUM(H60:H64)</f>
        <v>18562.510000000002</v>
      </c>
      <c r="I65" s="29">
        <f t="shared" ref="I65" si="99">SUM(I60:I64)</f>
        <v>1562.51</v>
      </c>
      <c r="J65" s="29">
        <f t="shared" ref="J65" si="100">SUM(J60:J64)</f>
        <v>2075.4499999999998</v>
      </c>
      <c r="K65" s="29">
        <f t="shared" ref="K65" si="101">SUM(K60:K64)</f>
        <v>1562.51</v>
      </c>
      <c r="L65" s="29">
        <f t="shared" ref="L65" si="102">SUM(L60:L64)</f>
        <v>4937.51</v>
      </c>
      <c r="M65" s="29">
        <f t="shared" ref="M65" si="103">SUM(M60:M64)</f>
        <v>2199.0500000000002</v>
      </c>
      <c r="N65" s="33">
        <f t="shared" ref="N65:N66" si="104">SUM(B65:M65)</f>
        <v>73374.38</v>
      </c>
      <c r="O65" s="8"/>
    </row>
    <row r="66" spans="1:15" x14ac:dyDescent="0.25">
      <c r="A66" s="7" t="s">
        <v>1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33">
        <f t="shared" si="104"/>
        <v>0</v>
      </c>
      <c r="O66" s="13"/>
    </row>
    <row r="67" spans="1:15" x14ac:dyDescent="0.25">
      <c r="A67" s="8" t="s">
        <v>114</v>
      </c>
      <c r="B67" s="29">
        <f>SUM(20*175)/100*103</f>
        <v>3605</v>
      </c>
      <c r="C67" s="29">
        <v>0</v>
      </c>
      <c r="D67" s="29">
        <v>0</v>
      </c>
      <c r="E67" s="29">
        <f>SUM(20*175)/100*103</f>
        <v>3605</v>
      </c>
      <c r="F67" s="29">
        <v>0</v>
      </c>
      <c r="G67" s="29">
        <v>0</v>
      </c>
      <c r="H67" s="29">
        <f>SUM(20*175)/100*103</f>
        <v>3605</v>
      </c>
      <c r="I67" s="29">
        <v>0</v>
      </c>
      <c r="J67" s="29">
        <v>0</v>
      </c>
      <c r="K67" s="29">
        <v>0</v>
      </c>
      <c r="L67" s="29">
        <f>SUM(50*20)/100*103</f>
        <v>1030</v>
      </c>
      <c r="M67" s="29">
        <v>0</v>
      </c>
      <c r="N67" s="33">
        <f>SUM(B67:M67)</f>
        <v>11845</v>
      </c>
      <c r="O67" s="13"/>
    </row>
    <row r="68" spans="1:15" x14ac:dyDescent="0.25">
      <c r="A68" s="15" t="s">
        <v>113</v>
      </c>
      <c r="B68" s="29">
        <v>0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3250</v>
      </c>
      <c r="N68" s="33">
        <f t="shared" ref="N68:N69" si="105">SUM(B68:M68)</f>
        <v>3250</v>
      </c>
      <c r="O68" s="13"/>
    </row>
    <row r="69" spans="1:15" x14ac:dyDescent="0.25">
      <c r="A69" s="15" t="s">
        <v>33</v>
      </c>
      <c r="B69" s="29">
        <v>3250</v>
      </c>
      <c r="C69" s="29">
        <v>0</v>
      </c>
      <c r="D69" s="29">
        <v>0</v>
      </c>
      <c r="E69" s="29">
        <v>3250</v>
      </c>
      <c r="F69" s="29">
        <v>0</v>
      </c>
      <c r="G69" s="29">
        <v>0</v>
      </c>
      <c r="H69" s="29">
        <v>3250</v>
      </c>
      <c r="I69" s="29">
        <v>0</v>
      </c>
      <c r="J69" s="29">
        <v>0</v>
      </c>
      <c r="K69" s="29">
        <v>0</v>
      </c>
      <c r="L69" s="29">
        <f>SUM(1030/100*103)</f>
        <v>1060.9000000000001</v>
      </c>
      <c r="M69" s="29">
        <v>0</v>
      </c>
      <c r="N69" s="33">
        <f t="shared" si="105"/>
        <v>10810.9</v>
      </c>
      <c r="O69" s="13"/>
    </row>
    <row r="70" spans="1:15" x14ac:dyDescent="0.25">
      <c r="A70" s="7" t="s">
        <v>24</v>
      </c>
      <c r="B70" s="29">
        <f t="shared" ref="B70" si="106">SUM(B67:B69)</f>
        <v>6855</v>
      </c>
      <c r="C70" s="29">
        <f t="shared" ref="C70" si="107">SUM(C67:C69)</f>
        <v>0</v>
      </c>
      <c r="D70" s="29">
        <f t="shared" ref="D70" si="108">SUM(D67:D69)</f>
        <v>0</v>
      </c>
      <c r="E70" s="29">
        <f t="shared" ref="E70" si="109">SUM(E67:E69)</f>
        <v>6855</v>
      </c>
      <c r="F70" s="29">
        <f t="shared" ref="F70" si="110">SUM(F67:F69)</f>
        <v>0</v>
      </c>
      <c r="G70" s="29">
        <f t="shared" ref="G70" si="111">SUM(G67:G69)</f>
        <v>0</v>
      </c>
      <c r="H70" s="29">
        <f t="shared" ref="H70" si="112">SUM(H67:H69)</f>
        <v>6855</v>
      </c>
      <c r="I70" s="29">
        <f t="shared" ref="I70" si="113">SUM(I67:I69)</f>
        <v>0</v>
      </c>
      <c r="J70" s="29">
        <f t="shared" ref="J70" si="114">SUM(J67:J69)</f>
        <v>0</v>
      </c>
      <c r="K70" s="29">
        <f t="shared" ref="K70" si="115">SUM(K67:K69)</f>
        <v>0</v>
      </c>
      <c r="L70" s="29">
        <f t="shared" ref="L70" si="116">SUM(L67:L69)</f>
        <v>2090.9</v>
      </c>
      <c r="M70" s="29">
        <f t="shared" ref="M70" si="117">SUM(M67:M69)</f>
        <v>3250</v>
      </c>
      <c r="N70" s="33">
        <f>SUM(B70:M70)</f>
        <v>25905.9</v>
      </c>
      <c r="O70" s="13"/>
    </row>
    <row r="71" spans="1:15" x14ac:dyDescent="0.25">
      <c r="A71" s="11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12"/>
      <c r="O71" s="10"/>
    </row>
    <row r="72" spans="1:15" x14ac:dyDescent="0.25">
      <c r="A72" s="11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12"/>
      <c r="O72" s="10"/>
    </row>
    <row r="73" spans="1:15" x14ac:dyDescent="0.25">
      <c r="A73" s="7" t="s">
        <v>200</v>
      </c>
      <c r="B73" s="7" t="s">
        <v>4</v>
      </c>
      <c r="C73" s="7" t="s">
        <v>5</v>
      </c>
      <c r="D73" s="7" t="s">
        <v>6</v>
      </c>
      <c r="E73" s="7" t="s">
        <v>7</v>
      </c>
      <c r="F73" s="7" t="s">
        <v>8</v>
      </c>
      <c r="G73" s="7" t="s">
        <v>9</v>
      </c>
      <c r="H73" s="7" t="s">
        <v>10</v>
      </c>
      <c r="I73" s="7" t="s">
        <v>11</v>
      </c>
      <c r="J73" s="7" t="s">
        <v>12</v>
      </c>
      <c r="K73" s="7" t="s">
        <v>13</v>
      </c>
      <c r="L73" s="7" t="s">
        <v>14</v>
      </c>
      <c r="M73" s="7" t="s">
        <v>15</v>
      </c>
      <c r="N73" s="7" t="s">
        <v>3</v>
      </c>
      <c r="O73" s="8"/>
    </row>
    <row r="74" spans="1:15" x14ac:dyDescent="0.25">
      <c r="A74" s="7" t="s">
        <v>19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3"/>
      <c r="O74" s="8"/>
    </row>
    <row r="75" spans="1:15" x14ac:dyDescent="0.25">
      <c r="A75" s="15" t="s">
        <v>110</v>
      </c>
      <c r="B75" s="29">
        <v>0</v>
      </c>
      <c r="C75" s="29">
        <f>SUM((656)/100*103)</f>
        <v>675.68</v>
      </c>
      <c r="D75" s="29">
        <v>0</v>
      </c>
      <c r="E75" s="29">
        <v>0</v>
      </c>
      <c r="F75" s="29">
        <f>SUM(765/100*103)</f>
        <v>787.95</v>
      </c>
      <c r="G75" s="29">
        <f>SUM((656)/100*103)</f>
        <v>675.68</v>
      </c>
      <c r="H75" s="29">
        <v>0</v>
      </c>
      <c r="I75" s="29">
        <v>0</v>
      </c>
      <c r="J75" s="29">
        <f>SUM((656)/100*103)</f>
        <v>675.68</v>
      </c>
      <c r="K75" s="29">
        <v>0</v>
      </c>
      <c r="L75" s="29">
        <v>0</v>
      </c>
      <c r="M75" s="29">
        <f>SUM((656)/100*103)</f>
        <v>675.68</v>
      </c>
      <c r="N75" s="33">
        <f>SUM(B75:M75)</f>
        <v>3490.6699999999996</v>
      </c>
      <c r="O75" s="8"/>
    </row>
    <row r="76" spans="1:15" x14ac:dyDescent="0.25">
      <c r="A76" s="15" t="s">
        <v>111</v>
      </c>
      <c r="B76" s="29">
        <f>SUM(100*125)+(3*150*10)</f>
        <v>17000</v>
      </c>
      <c r="C76" s="29">
        <v>0</v>
      </c>
      <c r="D76" s="29">
        <v>0</v>
      </c>
      <c r="E76" s="29">
        <f>SUM(100*125)+(3*150*10)</f>
        <v>17000</v>
      </c>
      <c r="F76" s="29">
        <v>0</v>
      </c>
      <c r="G76" s="29">
        <v>0</v>
      </c>
      <c r="H76" s="29">
        <f>SUM(100*125)+(3*150*10)</f>
        <v>17000</v>
      </c>
      <c r="I76" s="29">
        <v>0</v>
      </c>
      <c r="J76" s="29">
        <v>0</v>
      </c>
      <c r="K76" s="29">
        <v>0</v>
      </c>
      <c r="L76" s="29">
        <f>SUM(75*25)+(150*10)</f>
        <v>3375</v>
      </c>
      <c r="M76" s="29">
        <v>0</v>
      </c>
      <c r="N76" s="33">
        <f>SUM(B76:M76)</f>
        <v>54375</v>
      </c>
      <c r="O76" s="8"/>
    </row>
    <row r="77" spans="1:15" x14ac:dyDescent="0.25">
      <c r="A77" s="15" t="s">
        <v>112</v>
      </c>
      <c r="B77" s="29">
        <f>SUM(295)/100*103</f>
        <v>303.85000000000002</v>
      </c>
      <c r="C77" s="29">
        <f t="shared" ref="C77:D77" si="118">SUM(295)/100*103</f>
        <v>303.85000000000002</v>
      </c>
      <c r="D77" s="29">
        <f t="shared" si="118"/>
        <v>303.85000000000002</v>
      </c>
      <c r="E77" s="29">
        <f>SUM(151)/100*103</f>
        <v>155.53</v>
      </c>
      <c r="F77" s="29">
        <v>0</v>
      </c>
      <c r="G77" s="29">
        <f t="shared" ref="G77:I77" si="119">SUM(295)/100*103</f>
        <v>303.85000000000002</v>
      </c>
      <c r="H77" s="29">
        <f t="shared" si="119"/>
        <v>303.85000000000002</v>
      </c>
      <c r="I77" s="29">
        <f t="shared" si="119"/>
        <v>303.85000000000002</v>
      </c>
      <c r="J77" s="29">
        <f>SUM(151)/100*103</f>
        <v>155.53</v>
      </c>
      <c r="K77" s="29">
        <f t="shared" ref="K77:M77" si="120">SUM(295)/100*103</f>
        <v>303.85000000000002</v>
      </c>
      <c r="L77" s="29">
        <f t="shared" si="120"/>
        <v>303.85000000000002</v>
      </c>
      <c r="M77" s="29">
        <f t="shared" si="120"/>
        <v>303.85000000000002</v>
      </c>
      <c r="N77" s="33">
        <f t="shared" ref="N77:N78" si="121">SUM(B77:M77)</f>
        <v>3045.71</v>
      </c>
      <c r="O77" s="8"/>
    </row>
    <row r="78" spans="1:15" x14ac:dyDescent="0.25">
      <c r="A78" s="3" t="s">
        <v>55</v>
      </c>
      <c r="B78" s="29">
        <f>SUM(1268/100*103)</f>
        <v>1306.04</v>
      </c>
      <c r="C78" s="29">
        <f t="shared" ref="C78:D78" si="122">SUM(1268/100*103)</f>
        <v>1306.04</v>
      </c>
      <c r="D78" s="29">
        <f t="shared" si="122"/>
        <v>1306.04</v>
      </c>
      <c r="E78" s="29">
        <v>0</v>
      </c>
      <c r="F78" s="29">
        <v>0</v>
      </c>
      <c r="G78" s="29">
        <f t="shared" ref="G78:M78" si="123">SUM(1268/100*103)</f>
        <v>1306.04</v>
      </c>
      <c r="H78" s="29">
        <f t="shared" si="123"/>
        <v>1306.04</v>
      </c>
      <c r="I78" s="29">
        <f t="shared" si="123"/>
        <v>1306.04</v>
      </c>
      <c r="J78" s="29">
        <f t="shared" si="123"/>
        <v>1306.04</v>
      </c>
      <c r="K78" s="29">
        <f t="shared" si="123"/>
        <v>1306.04</v>
      </c>
      <c r="L78" s="29">
        <f t="shared" si="123"/>
        <v>1306.04</v>
      </c>
      <c r="M78" s="29">
        <f t="shared" si="123"/>
        <v>1306.04</v>
      </c>
      <c r="N78" s="33">
        <f t="shared" si="121"/>
        <v>13060.400000000001</v>
      </c>
      <c r="O78" s="8"/>
    </row>
    <row r="79" spans="1:15" x14ac:dyDescent="0.25">
      <c r="A79" s="10" t="s">
        <v>57</v>
      </c>
      <c r="B79" s="29">
        <v>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33">
        <f>SUM(B79:M79)</f>
        <v>0</v>
      </c>
      <c r="O79" s="8"/>
    </row>
    <row r="80" spans="1:15" x14ac:dyDescent="0.25">
      <c r="A80" s="7" t="s">
        <v>22</v>
      </c>
      <c r="B80" s="29">
        <f>SUM(B75:B79)</f>
        <v>18609.89</v>
      </c>
      <c r="C80" s="29">
        <f t="shared" ref="C80" si="124">SUM(C75:C79)</f>
        <v>2285.5699999999997</v>
      </c>
      <c r="D80" s="29">
        <f t="shared" ref="D80" si="125">SUM(D75:D79)</f>
        <v>1609.8899999999999</v>
      </c>
      <c r="E80" s="29">
        <f t="shared" ref="E80" si="126">SUM(E75:E79)</f>
        <v>17155.53</v>
      </c>
      <c r="F80" s="29">
        <f t="shared" ref="F80" si="127">SUM(F75:F79)</f>
        <v>787.95</v>
      </c>
      <c r="G80" s="29">
        <f t="shared" ref="G80" si="128">SUM(G75:G79)</f>
        <v>2285.5699999999997</v>
      </c>
      <c r="H80" s="29">
        <f t="shared" ref="H80" si="129">SUM(H75:H79)</f>
        <v>18609.89</v>
      </c>
      <c r="I80" s="29">
        <f t="shared" ref="I80" si="130">SUM(I75:I79)</f>
        <v>1609.8899999999999</v>
      </c>
      <c r="J80" s="29">
        <f t="shared" ref="J80" si="131">SUM(J75:J79)</f>
        <v>2137.25</v>
      </c>
      <c r="K80" s="29">
        <f t="shared" ref="K80" si="132">SUM(K75:K79)</f>
        <v>1609.8899999999999</v>
      </c>
      <c r="L80" s="29">
        <f t="shared" ref="L80" si="133">SUM(L75:L79)</f>
        <v>4984.8899999999994</v>
      </c>
      <c r="M80" s="29">
        <f t="shared" ref="M80" si="134">SUM(M75:M79)</f>
        <v>2285.5699999999997</v>
      </c>
      <c r="N80" s="33">
        <f t="shared" ref="N80:N81" si="135">SUM(B80:M80)</f>
        <v>73971.78</v>
      </c>
      <c r="O80" s="8"/>
    </row>
    <row r="81" spans="1:15" x14ac:dyDescent="0.25">
      <c r="A81" s="7" t="s">
        <v>1</v>
      </c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33">
        <f t="shared" si="135"/>
        <v>0</v>
      </c>
      <c r="O81" s="13"/>
    </row>
    <row r="82" spans="1:15" x14ac:dyDescent="0.25">
      <c r="A82" s="8" t="s">
        <v>114</v>
      </c>
      <c r="B82" s="29">
        <f>SUM(3605)/100*103</f>
        <v>3713.1499999999996</v>
      </c>
      <c r="C82" s="29">
        <v>0</v>
      </c>
      <c r="D82" s="29">
        <v>0</v>
      </c>
      <c r="E82" s="29">
        <f>SUM(3605)/100*103</f>
        <v>3713.1499999999996</v>
      </c>
      <c r="F82" s="29">
        <v>0</v>
      </c>
      <c r="G82" s="29">
        <v>0</v>
      </c>
      <c r="H82" s="29">
        <f>SUM(3605)/100*103</f>
        <v>3713.1499999999996</v>
      </c>
      <c r="I82" s="29">
        <v>0</v>
      </c>
      <c r="J82" s="29">
        <v>0</v>
      </c>
      <c r="K82" s="29">
        <v>0</v>
      </c>
      <c r="L82" s="29">
        <f>SUM(1030)/100*103</f>
        <v>1060.9000000000001</v>
      </c>
      <c r="M82" s="29">
        <v>0</v>
      </c>
      <c r="N82" s="33">
        <f>SUM(B82:M82)</f>
        <v>12200.349999999999</v>
      </c>
      <c r="O82" s="13"/>
    </row>
    <row r="83" spans="1:15" x14ac:dyDescent="0.25">
      <c r="A83" s="15" t="s">
        <v>113</v>
      </c>
      <c r="B83" s="29">
        <v>0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3250</v>
      </c>
      <c r="N83" s="33">
        <f t="shared" ref="N83:N84" si="136">SUM(B83:M83)</f>
        <v>3250</v>
      </c>
      <c r="O83" s="13"/>
    </row>
    <row r="84" spans="1:15" x14ac:dyDescent="0.25">
      <c r="A84" s="15" t="s">
        <v>33</v>
      </c>
      <c r="B84" s="29">
        <v>3250</v>
      </c>
      <c r="C84" s="29">
        <v>0</v>
      </c>
      <c r="D84" s="29">
        <v>0</v>
      </c>
      <c r="E84" s="29">
        <v>3250</v>
      </c>
      <c r="F84" s="29">
        <v>0</v>
      </c>
      <c r="G84" s="29">
        <v>0</v>
      </c>
      <c r="H84" s="29">
        <v>3250</v>
      </c>
      <c r="I84" s="29">
        <v>0</v>
      </c>
      <c r="J84" s="29">
        <v>0</v>
      </c>
      <c r="K84" s="29">
        <v>0</v>
      </c>
      <c r="L84" s="29">
        <f>SUM(1030/100*103)</f>
        <v>1060.9000000000001</v>
      </c>
      <c r="M84" s="29">
        <v>0</v>
      </c>
      <c r="N84" s="33">
        <f t="shared" si="136"/>
        <v>10810.9</v>
      </c>
      <c r="O84" s="13"/>
    </row>
    <row r="85" spans="1:15" x14ac:dyDescent="0.25">
      <c r="A85" s="7" t="s">
        <v>24</v>
      </c>
      <c r="B85" s="29">
        <f t="shared" ref="B85" si="137">SUM(B82:B84)</f>
        <v>6963.15</v>
      </c>
      <c r="C85" s="29">
        <f t="shared" ref="C85" si="138">SUM(C82:C84)</f>
        <v>0</v>
      </c>
      <c r="D85" s="29">
        <f t="shared" ref="D85" si="139">SUM(D82:D84)</f>
        <v>0</v>
      </c>
      <c r="E85" s="29">
        <f t="shared" ref="E85" si="140">SUM(E82:E84)</f>
        <v>6963.15</v>
      </c>
      <c r="F85" s="29">
        <f t="shared" ref="F85" si="141">SUM(F82:F84)</f>
        <v>0</v>
      </c>
      <c r="G85" s="29">
        <f t="shared" ref="G85" si="142">SUM(G82:G84)</f>
        <v>0</v>
      </c>
      <c r="H85" s="29">
        <f t="shared" ref="H85" si="143">SUM(H82:H84)</f>
        <v>6963.15</v>
      </c>
      <c r="I85" s="29">
        <f t="shared" ref="I85" si="144">SUM(I82:I84)</f>
        <v>0</v>
      </c>
      <c r="J85" s="29">
        <f t="shared" ref="J85" si="145">SUM(J82:J84)</f>
        <v>0</v>
      </c>
      <c r="K85" s="29">
        <f t="shared" ref="K85" si="146">SUM(K82:K84)</f>
        <v>0</v>
      </c>
      <c r="L85" s="29">
        <f t="shared" ref="L85" si="147">SUM(L82:L84)</f>
        <v>2121.8000000000002</v>
      </c>
      <c r="M85" s="29">
        <f t="shared" ref="M85" si="148">SUM(M82:M84)</f>
        <v>3250</v>
      </c>
      <c r="N85" s="33">
        <f>SUM(B85:M85)</f>
        <v>26261.249999999996</v>
      </c>
      <c r="O85" s="13"/>
    </row>
    <row r="86" spans="1:15" x14ac:dyDescent="0.25">
      <c r="A86" s="11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12"/>
      <c r="O86" s="10"/>
    </row>
    <row r="87" spans="1:15" x14ac:dyDescent="0.25">
      <c r="A87" s="7" t="s">
        <v>203</v>
      </c>
      <c r="B87" s="7" t="s">
        <v>4</v>
      </c>
      <c r="C87" s="7" t="s">
        <v>5</v>
      </c>
      <c r="D87" s="7" t="s">
        <v>6</v>
      </c>
      <c r="E87" s="7" t="s">
        <v>7</v>
      </c>
      <c r="F87" s="7" t="s">
        <v>8</v>
      </c>
      <c r="G87" s="7" t="s">
        <v>9</v>
      </c>
      <c r="H87" s="7" t="s">
        <v>10</v>
      </c>
      <c r="I87" s="7" t="s">
        <v>11</v>
      </c>
      <c r="J87" s="7" t="s">
        <v>12</v>
      </c>
      <c r="K87" s="7" t="s">
        <v>13</v>
      </c>
      <c r="L87" s="7" t="s">
        <v>14</v>
      </c>
      <c r="M87" s="7" t="s">
        <v>15</v>
      </c>
      <c r="N87" s="7" t="s">
        <v>3</v>
      </c>
      <c r="O87" s="8"/>
    </row>
    <row r="88" spans="1:15" x14ac:dyDescent="0.25">
      <c r="A88" s="7" t="s">
        <v>19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3"/>
      <c r="O88" s="8"/>
    </row>
    <row r="89" spans="1:15" x14ac:dyDescent="0.25">
      <c r="A89" s="15" t="s">
        <v>110</v>
      </c>
      <c r="B89" s="29">
        <v>0</v>
      </c>
      <c r="C89" s="29">
        <f>SUM((676)/100*103)</f>
        <v>696.28</v>
      </c>
      <c r="D89" s="29">
        <v>0</v>
      </c>
      <c r="E89" s="29">
        <v>0</v>
      </c>
      <c r="F89" s="29">
        <f>SUM(788/100*103)</f>
        <v>811.64</v>
      </c>
      <c r="G89" s="29">
        <f>SUM((676)/100*103)</f>
        <v>696.28</v>
      </c>
      <c r="H89" s="29">
        <v>0</v>
      </c>
      <c r="I89" s="29">
        <v>0</v>
      </c>
      <c r="J89" s="29">
        <f>SUM((676)/100*103)</f>
        <v>696.28</v>
      </c>
      <c r="K89" s="29">
        <v>0</v>
      </c>
      <c r="L89" s="29">
        <v>0</v>
      </c>
      <c r="M89" s="29">
        <f>SUM((676)/100*103)</f>
        <v>696.28</v>
      </c>
      <c r="N89" s="33">
        <f>SUM(B89:M89)</f>
        <v>3596.7599999999993</v>
      </c>
      <c r="O89" s="8"/>
    </row>
    <row r="90" spans="1:15" x14ac:dyDescent="0.25">
      <c r="A90" s="15" t="s">
        <v>111</v>
      </c>
      <c r="B90" s="29">
        <f>SUM(100*125)+(3*150*10)</f>
        <v>17000</v>
      </c>
      <c r="C90" s="29">
        <v>0</v>
      </c>
      <c r="D90" s="29">
        <v>0</v>
      </c>
      <c r="E90" s="29">
        <f>SUM(100*125)+(3*150*10)</f>
        <v>17000</v>
      </c>
      <c r="F90" s="29">
        <v>0</v>
      </c>
      <c r="G90" s="29">
        <v>0</v>
      </c>
      <c r="H90" s="29">
        <f>SUM(100*125)+(3*150*10)</f>
        <v>17000</v>
      </c>
      <c r="I90" s="29">
        <v>0</v>
      </c>
      <c r="J90" s="29">
        <v>0</v>
      </c>
      <c r="K90" s="29">
        <v>0</v>
      </c>
      <c r="L90" s="29">
        <f>SUM(75*25)+(150*10)</f>
        <v>3375</v>
      </c>
      <c r="M90" s="29">
        <v>0</v>
      </c>
      <c r="N90" s="33">
        <f>SUM(B90:M90)</f>
        <v>54375</v>
      </c>
      <c r="O90" s="8"/>
    </row>
    <row r="91" spans="1:15" x14ac:dyDescent="0.25">
      <c r="A91" s="15" t="s">
        <v>112</v>
      </c>
      <c r="B91" s="29">
        <f>SUM(304)/100*103</f>
        <v>313.12</v>
      </c>
      <c r="C91" s="29">
        <f t="shared" ref="C91:D91" si="149">SUM(304)/100*103</f>
        <v>313.12</v>
      </c>
      <c r="D91" s="29">
        <f t="shared" si="149"/>
        <v>313.12</v>
      </c>
      <c r="E91" s="29">
        <f>SUM(156)/100*103</f>
        <v>160.68</v>
      </c>
      <c r="F91" s="29">
        <v>0</v>
      </c>
      <c r="G91" s="29">
        <f t="shared" ref="G91:I91" si="150">SUM(304)/100*103</f>
        <v>313.12</v>
      </c>
      <c r="H91" s="29">
        <f t="shared" si="150"/>
        <v>313.12</v>
      </c>
      <c r="I91" s="29">
        <f t="shared" si="150"/>
        <v>313.12</v>
      </c>
      <c r="J91" s="29">
        <f>SUM(156)/100*103</f>
        <v>160.68</v>
      </c>
      <c r="K91" s="29">
        <f t="shared" ref="K91:M91" si="151">SUM(304)/100*103</f>
        <v>313.12</v>
      </c>
      <c r="L91" s="29">
        <f t="shared" si="151"/>
        <v>313.12</v>
      </c>
      <c r="M91" s="29">
        <f t="shared" si="151"/>
        <v>313.12</v>
      </c>
      <c r="N91" s="33">
        <f t="shared" ref="N91:N92" si="152">SUM(B91:M91)</f>
        <v>3139.4399999999991</v>
      </c>
      <c r="O91" s="8"/>
    </row>
    <row r="92" spans="1:15" x14ac:dyDescent="0.25">
      <c r="A92" s="3" t="s">
        <v>55</v>
      </c>
      <c r="B92" s="29">
        <f>SUM(1306/100*103)</f>
        <v>1345.18</v>
      </c>
      <c r="C92" s="29">
        <f t="shared" ref="C92:D92" si="153">SUM(1306/100*103)</f>
        <v>1345.18</v>
      </c>
      <c r="D92" s="29">
        <f t="shared" si="153"/>
        <v>1345.18</v>
      </c>
      <c r="E92" s="29">
        <v>0</v>
      </c>
      <c r="F92" s="29">
        <v>0</v>
      </c>
      <c r="G92" s="29">
        <f t="shared" ref="G92:M92" si="154">SUM(1306/100*103)</f>
        <v>1345.18</v>
      </c>
      <c r="H92" s="29">
        <f t="shared" si="154"/>
        <v>1345.18</v>
      </c>
      <c r="I92" s="29">
        <f t="shared" si="154"/>
        <v>1345.18</v>
      </c>
      <c r="J92" s="29">
        <f t="shared" si="154"/>
        <v>1345.18</v>
      </c>
      <c r="K92" s="29">
        <f t="shared" si="154"/>
        <v>1345.18</v>
      </c>
      <c r="L92" s="29">
        <f t="shared" si="154"/>
        <v>1345.18</v>
      </c>
      <c r="M92" s="29">
        <f t="shared" si="154"/>
        <v>1345.18</v>
      </c>
      <c r="N92" s="33">
        <f t="shared" si="152"/>
        <v>13451.800000000001</v>
      </c>
      <c r="O92" s="8"/>
    </row>
    <row r="93" spans="1:15" x14ac:dyDescent="0.25">
      <c r="A93" s="10" t="s">
        <v>57</v>
      </c>
      <c r="B93" s="29">
        <v>0</v>
      </c>
      <c r="C93" s="29">
        <v>0</v>
      </c>
      <c r="D93" s="29">
        <v>0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33">
        <f>SUM(B93:M93)</f>
        <v>0</v>
      </c>
      <c r="O93" s="8"/>
    </row>
    <row r="94" spans="1:15" x14ac:dyDescent="0.25">
      <c r="A94" s="7" t="s">
        <v>22</v>
      </c>
      <c r="B94" s="29">
        <f>SUM(B89:B93)</f>
        <v>18658.3</v>
      </c>
      <c r="C94" s="29">
        <f t="shared" ref="C94" si="155">SUM(C89:C93)</f>
        <v>2354.58</v>
      </c>
      <c r="D94" s="29">
        <f t="shared" ref="D94" si="156">SUM(D89:D93)</f>
        <v>1658.3000000000002</v>
      </c>
      <c r="E94" s="29">
        <f t="shared" ref="E94" si="157">SUM(E89:E93)</f>
        <v>17160.68</v>
      </c>
      <c r="F94" s="29">
        <f t="shared" ref="F94" si="158">SUM(F89:F93)</f>
        <v>811.64</v>
      </c>
      <c r="G94" s="29">
        <f t="shared" ref="G94" si="159">SUM(G89:G93)</f>
        <v>2354.58</v>
      </c>
      <c r="H94" s="29">
        <f t="shared" ref="H94" si="160">SUM(H89:H93)</f>
        <v>18658.3</v>
      </c>
      <c r="I94" s="29">
        <f t="shared" ref="I94" si="161">SUM(I89:I93)</f>
        <v>1658.3000000000002</v>
      </c>
      <c r="J94" s="29">
        <f t="shared" ref="J94" si="162">SUM(J89:J93)</f>
        <v>2202.1400000000003</v>
      </c>
      <c r="K94" s="29">
        <f t="shared" ref="K94" si="163">SUM(K89:K93)</f>
        <v>1658.3000000000002</v>
      </c>
      <c r="L94" s="29">
        <f t="shared" ref="L94" si="164">SUM(L89:L93)</f>
        <v>5033.3</v>
      </c>
      <c r="M94" s="29">
        <f t="shared" ref="M94" si="165">SUM(M89:M93)</f>
        <v>2354.58</v>
      </c>
      <c r="N94" s="33">
        <f t="shared" ref="N94:N95" si="166">SUM(B94:M94)</f>
        <v>74563.000000000015</v>
      </c>
      <c r="O94" s="8"/>
    </row>
    <row r="95" spans="1:15" x14ac:dyDescent="0.25">
      <c r="A95" s="7" t="s">
        <v>1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33">
        <f t="shared" si="166"/>
        <v>0</v>
      </c>
      <c r="O95" s="13"/>
    </row>
    <row r="96" spans="1:15" x14ac:dyDescent="0.25">
      <c r="A96" s="8" t="s">
        <v>114</v>
      </c>
      <c r="B96" s="29">
        <f>SUM(3713)/100*103</f>
        <v>3824.3900000000003</v>
      </c>
      <c r="C96" s="29">
        <v>0</v>
      </c>
      <c r="D96" s="29">
        <v>0</v>
      </c>
      <c r="E96" s="29">
        <f>SUM(3713)/100*103</f>
        <v>3824.3900000000003</v>
      </c>
      <c r="F96" s="29">
        <v>0</v>
      </c>
      <c r="G96" s="29">
        <v>0</v>
      </c>
      <c r="H96" s="29">
        <f>SUM(3713)/100*103</f>
        <v>3824.3900000000003</v>
      </c>
      <c r="I96" s="29">
        <v>0</v>
      </c>
      <c r="J96" s="29">
        <v>0</v>
      </c>
      <c r="K96" s="29">
        <v>0</v>
      </c>
      <c r="L96" s="29">
        <f>SUM(1061)/100*103</f>
        <v>1092.83</v>
      </c>
      <c r="M96" s="29">
        <v>0</v>
      </c>
      <c r="N96" s="33">
        <f>SUM(B96:M96)</f>
        <v>12566.000000000002</v>
      </c>
      <c r="O96" s="13"/>
    </row>
    <row r="97" spans="1:15" x14ac:dyDescent="0.25">
      <c r="A97" s="15" t="s">
        <v>113</v>
      </c>
      <c r="B97" s="29">
        <v>0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3250</v>
      </c>
      <c r="N97" s="33">
        <f t="shared" ref="N97:N98" si="167">SUM(B97:M97)</f>
        <v>3250</v>
      </c>
      <c r="O97" s="13"/>
    </row>
    <row r="98" spans="1:15" x14ac:dyDescent="0.25">
      <c r="A98" s="15" t="s">
        <v>33</v>
      </c>
      <c r="B98" s="29">
        <v>3250</v>
      </c>
      <c r="C98" s="29">
        <v>0</v>
      </c>
      <c r="D98" s="29">
        <v>0</v>
      </c>
      <c r="E98" s="29">
        <v>3250</v>
      </c>
      <c r="F98" s="29">
        <v>0</v>
      </c>
      <c r="G98" s="29">
        <v>0</v>
      </c>
      <c r="H98" s="29">
        <v>3250</v>
      </c>
      <c r="I98" s="29">
        <v>0</v>
      </c>
      <c r="J98" s="29">
        <v>0</v>
      </c>
      <c r="K98" s="29">
        <v>0</v>
      </c>
      <c r="L98" s="29">
        <f>SUM(1030/100*103)</f>
        <v>1060.9000000000001</v>
      </c>
      <c r="M98" s="29">
        <v>0</v>
      </c>
      <c r="N98" s="33">
        <f t="shared" si="167"/>
        <v>10810.9</v>
      </c>
      <c r="O98" s="13"/>
    </row>
    <row r="99" spans="1:15" x14ac:dyDescent="0.25">
      <c r="A99" s="7" t="s">
        <v>24</v>
      </c>
      <c r="B99" s="29">
        <f t="shared" ref="B99" si="168">SUM(B96:B98)</f>
        <v>7074.39</v>
      </c>
      <c r="C99" s="29">
        <f t="shared" ref="C99" si="169">SUM(C96:C98)</f>
        <v>0</v>
      </c>
      <c r="D99" s="29">
        <f t="shared" ref="D99" si="170">SUM(D96:D98)</f>
        <v>0</v>
      </c>
      <c r="E99" s="29">
        <f t="shared" ref="E99" si="171">SUM(E96:E98)</f>
        <v>7074.39</v>
      </c>
      <c r="F99" s="29">
        <f t="shared" ref="F99" si="172">SUM(F96:F98)</f>
        <v>0</v>
      </c>
      <c r="G99" s="29">
        <f t="shared" ref="G99" si="173">SUM(G96:G98)</f>
        <v>0</v>
      </c>
      <c r="H99" s="29">
        <f t="shared" ref="H99" si="174">SUM(H96:H98)</f>
        <v>7074.39</v>
      </c>
      <c r="I99" s="29">
        <f t="shared" ref="I99" si="175">SUM(I96:I98)</f>
        <v>0</v>
      </c>
      <c r="J99" s="29">
        <f t="shared" ref="J99" si="176">SUM(J96:J98)</f>
        <v>0</v>
      </c>
      <c r="K99" s="29">
        <f t="shared" ref="K99" si="177">SUM(K96:K98)</f>
        <v>0</v>
      </c>
      <c r="L99" s="29">
        <f t="shared" ref="L99" si="178">SUM(L96:L98)</f>
        <v>2153.73</v>
      </c>
      <c r="M99" s="29">
        <f t="shared" ref="M99" si="179">SUM(M96:M98)</f>
        <v>3250</v>
      </c>
      <c r="N99" s="33">
        <f>SUM(B99:M99)</f>
        <v>26626.9</v>
      </c>
      <c r="O99" s="13"/>
    </row>
    <row r="100" spans="1:15" x14ac:dyDescent="0.25">
      <c r="A100" s="11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12"/>
      <c r="O100" s="10"/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7"/>
  <sheetViews>
    <sheetView workbookViewId="0">
      <selection activeCell="M56" sqref="B56:M56"/>
    </sheetView>
  </sheetViews>
  <sheetFormatPr defaultRowHeight="15" x14ac:dyDescent="0.25"/>
  <cols>
    <col min="1" max="1" width="18.140625" customWidth="1"/>
    <col min="15" max="15" width="3" customWidth="1"/>
  </cols>
  <sheetData>
    <row r="1" spans="1:15" s="5" customFormat="1" x14ac:dyDescent="0.25">
      <c r="A1" s="7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s="5" customFormat="1" x14ac:dyDescent="0.25">
      <c r="A2" s="7" t="s">
        <v>115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3</v>
      </c>
      <c r="O2" s="8"/>
    </row>
    <row r="3" spans="1:15" s="5" customFormat="1" x14ac:dyDescent="0.25">
      <c r="A3" s="7" t="s">
        <v>19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3"/>
      <c r="O3" s="8"/>
    </row>
    <row r="4" spans="1:15" s="5" customFormat="1" x14ac:dyDescent="0.25">
      <c r="A4" s="8" t="s">
        <v>119</v>
      </c>
      <c r="B4" s="33">
        <v>0</v>
      </c>
      <c r="C4" s="33">
        <v>0</v>
      </c>
      <c r="D4" s="33">
        <v>0</v>
      </c>
      <c r="E4" s="33">
        <f>SUM(14*25*3)</f>
        <v>1050</v>
      </c>
      <c r="F4" s="33">
        <f>SUM(31*25*3)</f>
        <v>2325</v>
      </c>
      <c r="G4" s="33">
        <f>SUM(30*25*3)</f>
        <v>2250</v>
      </c>
      <c r="H4" s="33">
        <f>SUM(31*25*3)</f>
        <v>2325</v>
      </c>
      <c r="I4" s="33">
        <f>SUM(30*25*3)</f>
        <v>2250</v>
      </c>
      <c r="J4" s="33">
        <f>SUM(24*25*3)</f>
        <v>1800</v>
      </c>
      <c r="K4" s="33">
        <f>SUM(24*25*3)</f>
        <v>1800</v>
      </c>
      <c r="L4" s="33">
        <f>SUM(28*25*3)</f>
        <v>2100</v>
      </c>
      <c r="M4" s="33">
        <f>SUM(31*25*3)</f>
        <v>2325</v>
      </c>
      <c r="N4" s="33">
        <f>SUM(B4:M4)</f>
        <v>18225</v>
      </c>
      <c r="O4" s="8"/>
    </row>
    <row r="5" spans="1:15" s="5" customFormat="1" x14ac:dyDescent="0.25">
      <c r="A5" s="8" t="s">
        <v>172</v>
      </c>
      <c r="B5" s="33"/>
      <c r="C5" s="33"/>
      <c r="D5" s="33"/>
      <c r="E5" s="33">
        <f>SUM(10*6)</f>
        <v>60</v>
      </c>
      <c r="F5" s="33">
        <f t="shared" ref="F5:I5" si="0">SUM(10*6)</f>
        <v>60</v>
      </c>
      <c r="G5" s="33">
        <f t="shared" si="0"/>
        <v>60</v>
      </c>
      <c r="H5" s="33">
        <f t="shared" si="0"/>
        <v>60</v>
      </c>
      <c r="I5" s="33">
        <f t="shared" si="0"/>
        <v>60</v>
      </c>
      <c r="J5" s="33">
        <f>SUM(10*6*2)</f>
        <v>120</v>
      </c>
      <c r="K5" s="33">
        <f t="shared" ref="K5:M5" si="1">SUM(10*6*2)</f>
        <v>120</v>
      </c>
      <c r="L5" s="33">
        <f t="shared" si="1"/>
        <v>120</v>
      </c>
      <c r="M5" s="33">
        <f t="shared" si="1"/>
        <v>120</v>
      </c>
      <c r="N5" s="33">
        <f>SUM(B5:M5)</f>
        <v>780</v>
      </c>
      <c r="O5" s="8"/>
    </row>
    <row r="6" spans="1:15" s="5" customFormat="1" x14ac:dyDescent="0.25">
      <c r="A6" s="8" t="s">
        <v>125</v>
      </c>
      <c r="B6" s="33">
        <v>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f>SUM(B6:M6)</f>
        <v>0</v>
      </c>
      <c r="O6" s="13"/>
    </row>
    <row r="7" spans="1:15" s="5" customFormat="1" x14ac:dyDescent="0.25">
      <c r="A7" s="7" t="s">
        <v>22</v>
      </c>
      <c r="B7" s="33">
        <f t="shared" ref="B7:N7" si="2">SUM(B4:B6)</f>
        <v>0</v>
      </c>
      <c r="C7" s="33">
        <f t="shared" si="2"/>
        <v>0</v>
      </c>
      <c r="D7" s="33">
        <f t="shared" si="2"/>
        <v>0</v>
      </c>
      <c r="E7" s="33">
        <f t="shared" si="2"/>
        <v>1110</v>
      </c>
      <c r="F7" s="33">
        <f t="shared" si="2"/>
        <v>2385</v>
      </c>
      <c r="G7" s="33">
        <f t="shared" si="2"/>
        <v>2310</v>
      </c>
      <c r="H7" s="33">
        <f t="shared" si="2"/>
        <v>2385</v>
      </c>
      <c r="I7" s="33">
        <f t="shared" si="2"/>
        <v>2310</v>
      </c>
      <c r="J7" s="33">
        <f t="shared" si="2"/>
        <v>1920</v>
      </c>
      <c r="K7" s="33">
        <f t="shared" si="2"/>
        <v>1920</v>
      </c>
      <c r="L7" s="33">
        <f t="shared" si="2"/>
        <v>2220</v>
      </c>
      <c r="M7" s="33">
        <f t="shared" si="2"/>
        <v>2445</v>
      </c>
      <c r="N7" s="33">
        <f t="shared" si="2"/>
        <v>19005</v>
      </c>
      <c r="O7" s="13"/>
    </row>
    <row r="8" spans="1:15" s="5" customFormat="1" x14ac:dyDescent="0.25">
      <c r="A8" s="11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2"/>
      <c r="O8" s="10"/>
    </row>
    <row r="9" spans="1:15" s="5" customFormat="1" x14ac:dyDescent="0.25">
      <c r="A9" s="7" t="s">
        <v>116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7" t="s">
        <v>10</v>
      </c>
      <c r="I9" s="7" t="s">
        <v>11</v>
      </c>
      <c r="J9" s="7" t="s">
        <v>12</v>
      </c>
      <c r="K9" s="7" t="s">
        <v>13</v>
      </c>
      <c r="L9" s="7" t="s">
        <v>14</v>
      </c>
      <c r="M9" s="7" t="s">
        <v>15</v>
      </c>
      <c r="N9" s="7" t="s">
        <v>3</v>
      </c>
      <c r="O9" s="8"/>
    </row>
    <row r="10" spans="1:15" s="5" customFormat="1" x14ac:dyDescent="0.25">
      <c r="A10" s="7" t="s">
        <v>19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3"/>
      <c r="O10" s="8"/>
    </row>
    <row r="11" spans="1:15" s="5" customFormat="1" x14ac:dyDescent="0.25">
      <c r="A11" s="8" t="s">
        <v>119</v>
      </c>
      <c r="B11" s="33">
        <f>SUM(30*25*3.25)</f>
        <v>2437.5</v>
      </c>
      <c r="C11" s="33">
        <f>SUM(30*25*3.25)</f>
        <v>2437.5</v>
      </c>
      <c r="D11" s="33">
        <f>SUM(30*25*3.25)</f>
        <v>2437.5</v>
      </c>
      <c r="E11" s="33">
        <f>SUM(31*25*3.25)</f>
        <v>2518.75</v>
      </c>
      <c r="F11" s="33">
        <f>SUM(31*25*3.25)</f>
        <v>2518.75</v>
      </c>
      <c r="G11" s="33">
        <f>SUM(30*25*3.25)</f>
        <v>2437.5</v>
      </c>
      <c r="H11" s="33">
        <f>SUM(31*25*3.25)</f>
        <v>2518.75</v>
      </c>
      <c r="I11" s="33">
        <f>SUM(30*25*3.25)</f>
        <v>2437.5</v>
      </c>
      <c r="J11" s="33">
        <f>SUM(24*25*3.25)</f>
        <v>1950</v>
      </c>
      <c r="K11" s="33">
        <f>SUM(24*25*3.25)</f>
        <v>1950</v>
      </c>
      <c r="L11" s="33">
        <f>SUM(28*25*3.25)</f>
        <v>2275</v>
      </c>
      <c r="M11" s="33">
        <f>SUM(31*25*3.25)</f>
        <v>2518.75</v>
      </c>
      <c r="N11" s="33">
        <f>SUM(B11:M11)</f>
        <v>28437.5</v>
      </c>
      <c r="O11" s="8"/>
    </row>
    <row r="12" spans="1:15" s="5" customFormat="1" x14ac:dyDescent="0.25">
      <c r="A12" s="8" t="s">
        <v>124</v>
      </c>
      <c r="B12" s="33">
        <f>SUM(10*6*2)</f>
        <v>120</v>
      </c>
      <c r="C12" s="33">
        <f t="shared" ref="C12:M12" si="3">SUM(10*6*2)</f>
        <v>120</v>
      </c>
      <c r="D12" s="33">
        <f t="shared" si="3"/>
        <v>120</v>
      </c>
      <c r="E12" s="33">
        <f t="shared" si="3"/>
        <v>120</v>
      </c>
      <c r="F12" s="33">
        <f t="shared" si="3"/>
        <v>120</v>
      </c>
      <c r="G12" s="33">
        <f t="shared" si="3"/>
        <v>120</v>
      </c>
      <c r="H12" s="33">
        <f t="shared" si="3"/>
        <v>120</v>
      </c>
      <c r="I12" s="33">
        <f t="shared" si="3"/>
        <v>120</v>
      </c>
      <c r="J12" s="33">
        <f t="shared" si="3"/>
        <v>120</v>
      </c>
      <c r="K12" s="33">
        <f t="shared" si="3"/>
        <v>120</v>
      </c>
      <c r="L12" s="33">
        <f t="shared" si="3"/>
        <v>120</v>
      </c>
      <c r="M12" s="33">
        <f t="shared" si="3"/>
        <v>120</v>
      </c>
      <c r="N12" s="33">
        <f>SUM(B12:M12)</f>
        <v>1440</v>
      </c>
      <c r="O12" s="8"/>
    </row>
    <row r="13" spans="1:15" s="5" customFormat="1" x14ac:dyDescent="0.25">
      <c r="A13" s="8" t="s">
        <v>125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f>SUM(B13:M13)</f>
        <v>0</v>
      </c>
      <c r="O13" s="13"/>
    </row>
    <row r="14" spans="1:15" s="5" customFormat="1" x14ac:dyDescent="0.25">
      <c r="A14" s="7" t="s">
        <v>22</v>
      </c>
      <c r="B14" s="33">
        <f t="shared" ref="B14:N14" si="4">SUM(B11:B13)</f>
        <v>2557.5</v>
      </c>
      <c r="C14" s="33">
        <f t="shared" si="4"/>
        <v>2557.5</v>
      </c>
      <c r="D14" s="33">
        <f t="shared" si="4"/>
        <v>2557.5</v>
      </c>
      <c r="E14" s="33">
        <f t="shared" si="4"/>
        <v>2638.75</v>
      </c>
      <c r="F14" s="33">
        <f t="shared" si="4"/>
        <v>2638.75</v>
      </c>
      <c r="G14" s="33">
        <f t="shared" si="4"/>
        <v>2557.5</v>
      </c>
      <c r="H14" s="33">
        <f t="shared" si="4"/>
        <v>2638.75</v>
      </c>
      <c r="I14" s="33">
        <f t="shared" si="4"/>
        <v>2557.5</v>
      </c>
      <c r="J14" s="33">
        <f t="shared" si="4"/>
        <v>2070</v>
      </c>
      <c r="K14" s="33">
        <f t="shared" si="4"/>
        <v>2070</v>
      </c>
      <c r="L14" s="33">
        <f t="shared" si="4"/>
        <v>2395</v>
      </c>
      <c r="M14" s="33">
        <f t="shared" si="4"/>
        <v>2638.75</v>
      </c>
      <c r="N14" s="33">
        <f t="shared" si="4"/>
        <v>29877.5</v>
      </c>
      <c r="O14" s="13"/>
    </row>
    <row r="15" spans="1:15" s="5" customFormat="1" x14ac:dyDescent="0.25">
      <c r="A15" s="11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2"/>
      <c r="O15" s="10"/>
    </row>
    <row r="16" spans="1:15" s="5" customFormat="1" x14ac:dyDescent="0.25">
      <c r="A16" s="7" t="s">
        <v>117</v>
      </c>
      <c r="B16" s="7" t="s">
        <v>4</v>
      </c>
      <c r="C16" s="7" t="s">
        <v>5</v>
      </c>
      <c r="D16" s="7" t="s">
        <v>6</v>
      </c>
      <c r="E16" s="7" t="s">
        <v>7</v>
      </c>
      <c r="F16" s="7" t="s">
        <v>8</v>
      </c>
      <c r="G16" s="7" t="s">
        <v>9</v>
      </c>
      <c r="H16" s="7" t="s">
        <v>10</v>
      </c>
      <c r="I16" s="7" t="s">
        <v>11</v>
      </c>
      <c r="J16" s="7" t="s">
        <v>12</v>
      </c>
      <c r="K16" s="7" t="s">
        <v>13</v>
      </c>
      <c r="L16" s="7" t="s">
        <v>14</v>
      </c>
      <c r="M16" s="7" t="s">
        <v>15</v>
      </c>
      <c r="N16" s="7" t="s">
        <v>3</v>
      </c>
      <c r="O16" s="8"/>
    </row>
    <row r="17" spans="1:15" s="5" customFormat="1" x14ac:dyDescent="0.25">
      <c r="A17" s="7" t="s">
        <v>19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3"/>
      <c r="O17" s="8"/>
    </row>
    <row r="18" spans="1:15" s="5" customFormat="1" x14ac:dyDescent="0.25">
      <c r="A18" s="8" t="s">
        <v>119</v>
      </c>
      <c r="B18" s="33">
        <f>SUM(30*25*3.5)</f>
        <v>2625</v>
      </c>
      <c r="C18" s="33">
        <f>SUM(30*25*3.5)</f>
        <v>2625</v>
      </c>
      <c r="D18" s="33">
        <f>SUM(30*25*3.5)</f>
        <v>2625</v>
      </c>
      <c r="E18" s="33">
        <f>SUM(31*25*3.5)</f>
        <v>2712.5</v>
      </c>
      <c r="F18" s="33">
        <f>SUM(31*25*3.5)</f>
        <v>2712.5</v>
      </c>
      <c r="G18" s="33">
        <f>SUM(30*25*3.5)</f>
        <v>2625</v>
      </c>
      <c r="H18" s="33">
        <f>SUM(31*25*3.5)</f>
        <v>2712.5</v>
      </c>
      <c r="I18" s="33">
        <f>SUM(30*25*3.5)</f>
        <v>2625</v>
      </c>
      <c r="J18" s="33">
        <f>SUM(24*25*3.5)</f>
        <v>2100</v>
      </c>
      <c r="K18" s="33">
        <f>SUM(24*25*3.5)</f>
        <v>2100</v>
      </c>
      <c r="L18" s="33">
        <f>SUM(28*25*3.5)</f>
        <v>2450</v>
      </c>
      <c r="M18" s="33">
        <f>SUM(31*25*3.5)</f>
        <v>2712.5</v>
      </c>
      <c r="N18" s="33">
        <f>SUM(B18:M18)</f>
        <v>30625</v>
      </c>
      <c r="O18" s="8"/>
    </row>
    <row r="19" spans="1:15" s="5" customFormat="1" x14ac:dyDescent="0.25">
      <c r="A19" s="8" t="s">
        <v>124</v>
      </c>
      <c r="B19" s="33">
        <f>SUM(10*6*2)</f>
        <v>120</v>
      </c>
      <c r="C19" s="33">
        <f t="shared" ref="C19:M19" si="5">SUM(10*6*2)</f>
        <v>120</v>
      </c>
      <c r="D19" s="33">
        <f t="shared" si="5"/>
        <v>120</v>
      </c>
      <c r="E19" s="33">
        <f t="shared" si="5"/>
        <v>120</v>
      </c>
      <c r="F19" s="33">
        <f t="shared" si="5"/>
        <v>120</v>
      </c>
      <c r="G19" s="33">
        <f t="shared" si="5"/>
        <v>120</v>
      </c>
      <c r="H19" s="33">
        <f t="shared" si="5"/>
        <v>120</v>
      </c>
      <c r="I19" s="33">
        <f t="shared" si="5"/>
        <v>120</v>
      </c>
      <c r="J19" s="33">
        <f t="shared" si="5"/>
        <v>120</v>
      </c>
      <c r="K19" s="33">
        <f t="shared" si="5"/>
        <v>120</v>
      </c>
      <c r="L19" s="33">
        <f t="shared" si="5"/>
        <v>120</v>
      </c>
      <c r="M19" s="33">
        <f t="shared" si="5"/>
        <v>120</v>
      </c>
      <c r="N19" s="33">
        <f>SUM(B19:M19)</f>
        <v>1440</v>
      </c>
      <c r="O19" s="8"/>
    </row>
    <row r="20" spans="1:15" s="5" customFormat="1" x14ac:dyDescent="0.25">
      <c r="A20" s="8" t="s">
        <v>125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f>SUM(B20:M20)</f>
        <v>0</v>
      </c>
      <c r="O20" s="13"/>
    </row>
    <row r="21" spans="1:15" s="5" customFormat="1" x14ac:dyDescent="0.25">
      <c r="A21" s="7" t="s">
        <v>22</v>
      </c>
      <c r="B21" s="33">
        <f t="shared" ref="B21" si="6">SUM(B18:B20)</f>
        <v>2745</v>
      </c>
      <c r="C21" s="33">
        <f t="shared" ref="C21" si="7">SUM(C18:C20)</f>
        <v>2745</v>
      </c>
      <c r="D21" s="33">
        <f t="shared" ref="D21" si="8">SUM(D18:D20)</f>
        <v>2745</v>
      </c>
      <c r="E21" s="33">
        <f t="shared" ref="E21" si="9">SUM(E18:E20)</f>
        <v>2832.5</v>
      </c>
      <c r="F21" s="33">
        <f t="shared" ref="F21" si="10">SUM(F18:F20)</f>
        <v>2832.5</v>
      </c>
      <c r="G21" s="33">
        <f t="shared" ref="G21" si="11">SUM(G18:G20)</f>
        <v>2745</v>
      </c>
      <c r="H21" s="33">
        <f t="shared" ref="H21" si="12">SUM(H18:H20)</f>
        <v>2832.5</v>
      </c>
      <c r="I21" s="33">
        <f t="shared" ref="I21" si="13">SUM(I18:I20)</f>
        <v>2745</v>
      </c>
      <c r="J21" s="33">
        <f t="shared" ref="J21" si="14">SUM(J18:J20)</f>
        <v>2220</v>
      </c>
      <c r="K21" s="33">
        <f t="shared" ref="K21" si="15">SUM(K18:K20)</f>
        <v>2220</v>
      </c>
      <c r="L21" s="33">
        <f t="shared" ref="L21" si="16">SUM(L18:L20)</f>
        <v>2570</v>
      </c>
      <c r="M21" s="33">
        <f t="shared" ref="M21" si="17">SUM(M18:M20)</f>
        <v>2832.5</v>
      </c>
      <c r="N21" s="33">
        <f t="shared" ref="N21" si="18">SUM(N18:N20)</f>
        <v>32065</v>
      </c>
      <c r="O21" s="13"/>
    </row>
    <row r="22" spans="1:15" s="5" customFormat="1" x14ac:dyDescent="0.25">
      <c r="A22" s="11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2"/>
      <c r="O22" s="10"/>
    </row>
    <row r="23" spans="1:15" s="5" customFormat="1" x14ac:dyDescent="0.25">
      <c r="A23" s="7" t="s">
        <v>155</v>
      </c>
      <c r="B23" s="7" t="s">
        <v>4</v>
      </c>
      <c r="C23" s="7" t="s">
        <v>5</v>
      </c>
      <c r="D23" s="7" t="s">
        <v>6</v>
      </c>
      <c r="E23" s="7" t="s">
        <v>7</v>
      </c>
      <c r="F23" s="7" t="s">
        <v>8</v>
      </c>
      <c r="G23" s="7" t="s">
        <v>9</v>
      </c>
      <c r="H23" s="7" t="s">
        <v>10</v>
      </c>
      <c r="I23" s="7" t="s">
        <v>11</v>
      </c>
      <c r="J23" s="7" t="s">
        <v>12</v>
      </c>
      <c r="K23" s="7" t="s">
        <v>13</v>
      </c>
      <c r="L23" s="7" t="s">
        <v>14</v>
      </c>
      <c r="M23" s="7" t="s">
        <v>15</v>
      </c>
      <c r="N23" s="7" t="s">
        <v>3</v>
      </c>
      <c r="O23" s="8"/>
    </row>
    <row r="24" spans="1:15" s="5" customFormat="1" x14ac:dyDescent="0.25">
      <c r="A24" s="7" t="s">
        <v>19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3"/>
      <c r="O24" s="8"/>
    </row>
    <row r="25" spans="1:15" s="5" customFormat="1" x14ac:dyDescent="0.25">
      <c r="A25" s="8" t="s">
        <v>119</v>
      </c>
      <c r="B25" s="33">
        <f>SUM(30*25*3.75)</f>
        <v>2812.5</v>
      </c>
      <c r="C25" s="33">
        <f>SUM(30*25*3.75)</f>
        <v>2812.5</v>
      </c>
      <c r="D25" s="33">
        <f>SUM(30*25*3.75)</f>
        <v>2812.5</v>
      </c>
      <c r="E25" s="33">
        <f>SUM(31*25*3.75)</f>
        <v>2906.25</v>
      </c>
      <c r="F25" s="33">
        <f>SUM(31*25*3.75)</f>
        <v>2906.25</v>
      </c>
      <c r="G25" s="33">
        <f>SUM(30*25*3.75)</f>
        <v>2812.5</v>
      </c>
      <c r="H25" s="33">
        <f>SUM(31*25*3.75)</f>
        <v>2906.25</v>
      </c>
      <c r="I25" s="33">
        <f>SUM(30*25*3.75)</f>
        <v>2812.5</v>
      </c>
      <c r="J25" s="33">
        <f>SUM(24*25*3.75)</f>
        <v>2250</v>
      </c>
      <c r="K25" s="33">
        <f>SUM(24*25*3.75)</f>
        <v>2250</v>
      </c>
      <c r="L25" s="33">
        <f>SUM(28*25*3.75)</f>
        <v>2625</v>
      </c>
      <c r="M25" s="33">
        <f>SUM(31*25*3.75)</f>
        <v>2906.25</v>
      </c>
      <c r="N25" s="33">
        <f>SUM(B25:M25)</f>
        <v>32812.5</v>
      </c>
      <c r="O25" s="8"/>
    </row>
    <row r="26" spans="1:15" s="5" customFormat="1" x14ac:dyDescent="0.25">
      <c r="A26" s="8" t="s">
        <v>124</v>
      </c>
      <c r="B26" s="33">
        <f>SUM(10*6.5*2)</f>
        <v>130</v>
      </c>
      <c r="C26" s="33">
        <f t="shared" ref="C26:M26" si="19">SUM(10*6.5*2)</f>
        <v>130</v>
      </c>
      <c r="D26" s="33">
        <f t="shared" si="19"/>
        <v>130</v>
      </c>
      <c r="E26" s="33">
        <f t="shared" si="19"/>
        <v>130</v>
      </c>
      <c r="F26" s="33">
        <f t="shared" si="19"/>
        <v>130</v>
      </c>
      <c r="G26" s="33">
        <f t="shared" si="19"/>
        <v>130</v>
      </c>
      <c r="H26" s="33">
        <f t="shared" si="19"/>
        <v>130</v>
      </c>
      <c r="I26" s="33">
        <f t="shared" si="19"/>
        <v>130</v>
      </c>
      <c r="J26" s="33">
        <f t="shared" si="19"/>
        <v>130</v>
      </c>
      <c r="K26" s="33">
        <f t="shared" si="19"/>
        <v>130</v>
      </c>
      <c r="L26" s="33">
        <f t="shared" si="19"/>
        <v>130</v>
      </c>
      <c r="M26" s="33">
        <f t="shared" si="19"/>
        <v>130</v>
      </c>
      <c r="N26" s="33">
        <f>SUM(B26:M26)</f>
        <v>1560</v>
      </c>
      <c r="O26" s="8"/>
    </row>
    <row r="27" spans="1:15" s="5" customFormat="1" x14ac:dyDescent="0.25">
      <c r="A27" s="8" t="s">
        <v>125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f>SUM(B27:M27)</f>
        <v>0</v>
      </c>
      <c r="O27" s="13"/>
    </row>
    <row r="28" spans="1:15" s="5" customFormat="1" x14ac:dyDescent="0.25">
      <c r="A28" s="7" t="s">
        <v>22</v>
      </c>
      <c r="B28" s="33">
        <f t="shared" ref="B28" si="20">SUM(B25:B27)</f>
        <v>2942.5</v>
      </c>
      <c r="C28" s="33">
        <f t="shared" ref="C28" si="21">SUM(C25:C27)</f>
        <v>2942.5</v>
      </c>
      <c r="D28" s="33">
        <f t="shared" ref="D28" si="22">SUM(D25:D27)</f>
        <v>2942.5</v>
      </c>
      <c r="E28" s="33">
        <f t="shared" ref="E28" si="23">SUM(E25:E27)</f>
        <v>3036.25</v>
      </c>
      <c r="F28" s="33">
        <f t="shared" ref="F28" si="24">SUM(F25:F27)</f>
        <v>3036.25</v>
      </c>
      <c r="G28" s="33">
        <f t="shared" ref="G28" si="25">SUM(G25:G27)</f>
        <v>2942.5</v>
      </c>
      <c r="H28" s="33">
        <f t="shared" ref="H28" si="26">SUM(H25:H27)</f>
        <v>3036.25</v>
      </c>
      <c r="I28" s="33">
        <f t="shared" ref="I28" si="27">SUM(I25:I27)</f>
        <v>2942.5</v>
      </c>
      <c r="J28" s="33">
        <f t="shared" ref="J28" si="28">SUM(J25:J27)</f>
        <v>2380</v>
      </c>
      <c r="K28" s="33">
        <f t="shared" ref="K28" si="29">SUM(K25:K27)</f>
        <v>2380</v>
      </c>
      <c r="L28" s="33">
        <f t="shared" ref="L28" si="30">SUM(L25:L27)</f>
        <v>2755</v>
      </c>
      <c r="M28" s="33">
        <f t="shared" ref="M28" si="31">SUM(M25:M27)</f>
        <v>3036.25</v>
      </c>
      <c r="N28" s="33">
        <f t="shared" ref="N28" si="32">SUM(N25:N27)</f>
        <v>34372.5</v>
      </c>
      <c r="O28" s="13"/>
    </row>
    <row r="29" spans="1:15" s="5" customFormat="1" x14ac:dyDescent="0.25">
      <c r="A29" s="1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12"/>
      <c r="O29" s="10"/>
    </row>
    <row r="30" spans="1:15" x14ac:dyDescent="0.25">
      <c r="A30" s="7" t="s">
        <v>194</v>
      </c>
      <c r="B30" s="7" t="s">
        <v>4</v>
      </c>
      <c r="C30" s="7" t="s">
        <v>5</v>
      </c>
      <c r="D30" s="7" t="s">
        <v>6</v>
      </c>
      <c r="E30" s="7" t="s">
        <v>7</v>
      </c>
      <c r="F30" s="7" t="s">
        <v>8</v>
      </c>
      <c r="G30" s="7" t="s">
        <v>9</v>
      </c>
      <c r="H30" s="7" t="s">
        <v>10</v>
      </c>
      <c r="I30" s="7" t="s">
        <v>11</v>
      </c>
      <c r="J30" s="7" t="s">
        <v>12</v>
      </c>
      <c r="K30" s="7" t="s">
        <v>13</v>
      </c>
      <c r="L30" s="7" t="s">
        <v>14</v>
      </c>
      <c r="M30" s="7" t="s">
        <v>15</v>
      </c>
      <c r="N30" s="7" t="s">
        <v>3</v>
      </c>
      <c r="O30" s="8"/>
    </row>
    <row r="31" spans="1:15" x14ac:dyDescent="0.25">
      <c r="A31" s="7" t="s">
        <v>19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3"/>
      <c r="O31" s="8"/>
    </row>
    <row r="32" spans="1:15" x14ac:dyDescent="0.25">
      <c r="A32" s="8" t="s">
        <v>119</v>
      </c>
      <c r="B32" s="33">
        <f>SUM(30*25*4)</f>
        <v>3000</v>
      </c>
      <c r="C32" s="33">
        <f>SUM(30*25*4)</f>
        <v>3000</v>
      </c>
      <c r="D32" s="33">
        <f>SUM(30*25*4)</f>
        <v>3000</v>
      </c>
      <c r="E32" s="33">
        <f>SUM(31*25*4)</f>
        <v>3100</v>
      </c>
      <c r="F32" s="33">
        <f>SUM(31*25*4)</f>
        <v>3100</v>
      </c>
      <c r="G32" s="33">
        <f>SUM(30*25*4)</f>
        <v>3000</v>
      </c>
      <c r="H32" s="33">
        <f>SUM(31*25*4)</f>
        <v>3100</v>
      </c>
      <c r="I32" s="33">
        <f>SUM(30*25*4)</f>
        <v>3000</v>
      </c>
      <c r="J32" s="33">
        <f>SUM(24*25*4)</f>
        <v>2400</v>
      </c>
      <c r="K32" s="33">
        <f>SUM(24*25*4)</f>
        <v>2400</v>
      </c>
      <c r="L32" s="33">
        <f>SUM(28*25*4)</f>
        <v>2800</v>
      </c>
      <c r="M32" s="33">
        <f>SUM(31*25*4)</f>
        <v>3100</v>
      </c>
      <c r="N32" s="33">
        <f>SUM(B32:M32)</f>
        <v>35000</v>
      </c>
      <c r="O32" s="8"/>
    </row>
    <row r="33" spans="1:15" x14ac:dyDescent="0.25">
      <c r="A33" s="8" t="s">
        <v>124</v>
      </c>
      <c r="B33" s="33">
        <f>SUM(10*6.5*2)</f>
        <v>130</v>
      </c>
      <c r="C33" s="33">
        <f t="shared" ref="C33:M33" si="33">SUM(10*6.5*2)</f>
        <v>130</v>
      </c>
      <c r="D33" s="33">
        <f t="shared" si="33"/>
        <v>130</v>
      </c>
      <c r="E33" s="33">
        <f t="shared" si="33"/>
        <v>130</v>
      </c>
      <c r="F33" s="33">
        <f t="shared" si="33"/>
        <v>130</v>
      </c>
      <c r="G33" s="33">
        <f t="shared" si="33"/>
        <v>130</v>
      </c>
      <c r="H33" s="33">
        <f t="shared" si="33"/>
        <v>130</v>
      </c>
      <c r="I33" s="33">
        <f t="shared" si="33"/>
        <v>130</v>
      </c>
      <c r="J33" s="33">
        <f t="shared" si="33"/>
        <v>130</v>
      </c>
      <c r="K33" s="33">
        <f t="shared" si="33"/>
        <v>130</v>
      </c>
      <c r="L33" s="33">
        <f t="shared" si="33"/>
        <v>130</v>
      </c>
      <c r="M33" s="33">
        <f t="shared" si="33"/>
        <v>130</v>
      </c>
      <c r="N33" s="33">
        <f>SUM(B33:M33)</f>
        <v>1560</v>
      </c>
      <c r="O33" s="8"/>
    </row>
    <row r="34" spans="1:15" x14ac:dyDescent="0.25">
      <c r="A34" s="8" t="s">
        <v>125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f>SUM(B34:M34)</f>
        <v>0</v>
      </c>
      <c r="O34" s="13"/>
    </row>
    <row r="35" spans="1:15" x14ac:dyDescent="0.25">
      <c r="A35" s="7" t="s">
        <v>22</v>
      </c>
      <c r="B35" s="33">
        <f t="shared" ref="B35" si="34">SUM(B32:B34)</f>
        <v>3130</v>
      </c>
      <c r="C35" s="33">
        <f t="shared" ref="C35" si="35">SUM(C32:C34)</f>
        <v>3130</v>
      </c>
      <c r="D35" s="33">
        <f t="shared" ref="D35" si="36">SUM(D32:D34)</f>
        <v>3130</v>
      </c>
      <c r="E35" s="33">
        <f t="shared" ref="E35" si="37">SUM(E32:E34)</f>
        <v>3230</v>
      </c>
      <c r="F35" s="33">
        <f t="shared" ref="F35" si="38">SUM(F32:F34)</f>
        <v>3230</v>
      </c>
      <c r="G35" s="33">
        <f t="shared" ref="G35" si="39">SUM(G32:G34)</f>
        <v>3130</v>
      </c>
      <c r="H35" s="33">
        <f t="shared" ref="H35" si="40">SUM(H32:H34)</f>
        <v>3230</v>
      </c>
      <c r="I35" s="33">
        <f t="shared" ref="I35" si="41">SUM(I32:I34)</f>
        <v>3130</v>
      </c>
      <c r="J35" s="33">
        <f t="shared" ref="J35" si="42">SUM(J32:J34)</f>
        <v>2530</v>
      </c>
      <c r="K35" s="33">
        <f t="shared" ref="K35" si="43">SUM(K32:K34)</f>
        <v>2530</v>
      </c>
      <c r="L35" s="33">
        <f t="shared" ref="L35" si="44">SUM(L32:L34)</f>
        <v>2930</v>
      </c>
      <c r="M35" s="33">
        <f t="shared" ref="M35" si="45">SUM(M32:M34)</f>
        <v>3230</v>
      </c>
      <c r="N35" s="33">
        <f t="shared" ref="N35" si="46">SUM(N32:N34)</f>
        <v>36560</v>
      </c>
      <c r="O35" s="13"/>
    </row>
    <row r="36" spans="1:15" x14ac:dyDescent="0.25">
      <c r="A36" s="11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12"/>
      <c r="O36" s="10"/>
    </row>
    <row r="37" spans="1:15" x14ac:dyDescent="0.25">
      <c r="A37" s="7" t="s">
        <v>197</v>
      </c>
      <c r="B37" s="7" t="s">
        <v>4</v>
      </c>
      <c r="C37" s="7" t="s">
        <v>5</v>
      </c>
      <c r="D37" s="7" t="s">
        <v>6</v>
      </c>
      <c r="E37" s="7" t="s">
        <v>7</v>
      </c>
      <c r="F37" s="7" t="s">
        <v>8</v>
      </c>
      <c r="G37" s="7" t="s">
        <v>9</v>
      </c>
      <c r="H37" s="7" t="s">
        <v>10</v>
      </c>
      <c r="I37" s="7" t="s">
        <v>11</v>
      </c>
      <c r="J37" s="7" t="s">
        <v>12</v>
      </c>
      <c r="K37" s="7" t="s">
        <v>13</v>
      </c>
      <c r="L37" s="7" t="s">
        <v>14</v>
      </c>
      <c r="M37" s="7" t="s">
        <v>15</v>
      </c>
      <c r="N37" s="7" t="s">
        <v>3</v>
      </c>
      <c r="O37" s="8"/>
    </row>
    <row r="38" spans="1:15" x14ac:dyDescent="0.25">
      <c r="A38" s="7" t="s">
        <v>19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3"/>
      <c r="O38" s="8"/>
    </row>
    <row r="39" spans="1:15" x14ac:dyDescent="0.25">
      <c r="A39" s="8" t="s">
        <v>119</v>
      </c>
      <c r="B39" s="33">
        <f>SUM(30*25*4)</f>
        <v>3000</v>
      </c>
      <c r="C39" s="33">
        <f>SUM(30*25*4)</f>
        <v>3000</v>
      </c>
      <c r="D39" s="33">
        <f>SUM(30*25*4)</f>
        <v>3000</v>
      </c>
      <c r="E39" s="33">
        <f>SUM(31*25*4)</f>
        <v>3100</v>
      </c>
      <c r="F39" s="33">
        <f>SUM(31*25*4)</f>
        <v>3100</v>
      </c>
      <c r="G39" s="33">
        <f>SUM(30*25*4)</f>
        <v>3000</v>
      </c>
      <c r="H39" s="33">
        <f>SUM(31*25*4)</f>
        <v>3100</v>
      </c>
      <c r="I39" s="33">
        <f>SUM(30*25*4)</f>
        <v>3000</v>
      </c>
      <c r="J39" s="33">
        <f>SUM(24*25*4)</f>
        <v>2400</v>
      </c>
      <c r="K39" s="33">
        <f>SUM(24*25*4)</f>
        <v>2400</v>
      </c>
      <c r="L39" s="33">
        <f>SUM(28*25*4)</f>
        <v>2800</v>
      </c>
      <c r="M39" s="33">
        <f>SUM(31*25*4)</f>
        <v>3100</v>
      </c>
      <c r="N39" s="33">
        <f>SUM(B39:M39)</f>
        <v>35000</v>
      </c>
      <c r="O39" s="8"/>
    </row>
    <row r="40" spans="1:15" x14ac:dyDescent="0.25">
      <c r="A40" s="8" t="s">
        <v>124</v>
      </c>
      <c r="B40" s="33">
        <f>SUM(10*6.5*2)</f>
        <v>130</v>
      </c>
      <c r="C40" s="33">
        <f t="shared" ref="C40:M40" si="47">SUM(10*6.5*2)</f>
        <v>130</v>
      </c>
      <c r="D40" s="33">
        <f t="shared" si="47"/>
        <v>130</v>
      </c>
      <c r="E40" s="33">
        <f t="shared" si="47"/>
        <v>130</v>
      </c>
      <c r="F40" s="33">
        <f t="shared" si="47"/>
        <v>130</v>
      </c>
      <c r="G40" s="33">
        <f t="shared" si="47"/>
        <v>130</v>
      </c>
      <c r="H40" s="33">
        <f t="shared" si="47"/>
        <v>130</v>
      </c>
      <c r="I40" s="33">
        <f t="shared" si="47"/>
        <v>130</v>
      </c>
      <c r="J40" s="33">
        <f t="shared" si="47"/>
        <v>130</v>
      </c>
      <c r="K40" s="33">
        <f t="shared" si="47"/>
        <v>130</v>
      </c>
      <c r="L40" s="33">
        <f t="shared" si="47"/>
        <v>130</v>
      </c>
      <c r="M40" s="33">
        <f t="shared" si="47"/>
        <v>130</v>
      </c>
      <c r="N40" s="33">
        <f>SUM(B40:M40)</f>
        <v>1560</v>
      </c>
      <c r="O40" s="8"/>
    </row>
    <row r="41" spans="1:15" x14ac:dyDescent="0.25">
      <c r="A41" s="8" t="s">
        <v>125</v>
      </c>
      <c r="B41" s="33">
        <v>0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f>SUM(B41:M41)</f>
        <v>0</v>
      </c>
      <c r="O41" s="13"/>
    </row>
    <row r="42" spans="1:15" x14ac:dyDescent="0.25">
      <c r="A42" s="7" t="s">
        <v>22</v>
      </c>
      <c r="B42" s="33">
        <f t="shared" ref="B42" si="48">SUM(B39:B41)</f>
        <v>3130</v>
      </c>
      <c r="C42" s="33">
        <f t="shared" ref="C42" si="49">SUM(C39:C41)</f>
        <v>3130</v>
      </c>
      <c r="D42" s="33">
        <f t="shared" ref="D42" si="50">SUM(D39:D41)</f>
        <v>3130</v>
      </c>
      <c r="E42" s="33">
        <f t="shared" ref="E42" si="51">SUM(E39:E41)</f>
        <v>3230</v>
      </c>
      <c r="F42" s="33">
        <f t="shared" ref="F42" si="52">SUM(F39:F41)</f>
        <v>3230</v>
      </c>
      <c r="G42" s="33">
        <f t="shared" ref="G42" si="53">SUM(G39:G41)</f>
        <v>3130</v>
      </c>
      <c r="H42" s="33">
        <f t="shared" ref="H42" si="54">SUM(H39:H41)</f>
        <v>3230</v>
      </c>
      <c r="I42" s="33">
        <f t="shared" ref="I42" si="55">SUM(I39:I41)</f>
        <v>3130</v>
      </c>
      <c r="J42" s="33">
        <f t="shared" ref="J42" si="56">SUM(J39:J41)</f>
        <v>2530</v>
      </c>
      <c r="K42" s="33">
        <f t="shared" ref="K42" si="57">SUM(K39:K41)</f>
        <v>2530</v>
      </c>
      <c r="L42" s="33">
        <f t="shared" ref="L42" si="58">SUM(L39:L41)</f>
        <v>2930</v>
      </c>
      <c r="M42" s="33">
        <f t="shared" ref="M42" si="59">SUM(M39:M41)</f>
        <v>3230</v>
      </c>
      <c r="N42" s="33">
        <f t="shared" ref="N42" si="60">SUM(N39:N41)</f>
        <v>36560</v>
      </c>
      <c r="O42" s="13"/>
    </row>
    <row r="43" spans="1:15" x14ac:dyDescent="0.25">
      <c r="A43" s="11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2"/>
      <c r="O43" s="10"/>
    </row>
    <row r="44" spans="1:15" x14ac:dyDescent="0.25">
      <c r="A44" s="7" t="s">
        <v>200</v>
      </c>
      <c r="B44" s="7" t="s">
        <v>4</v>
      </c>
      <c r="C44" s="7" t="s">
        <v>5</v>
      </c>
      <c r="D44" s="7" t="s">
        <v>6</v>
      </c>
      <c r="E44" s="7" t="s">
        <v>7</v>
      </c>
      <c r="F44" s="7" t="s">
        <v>8</v>
      </c>
      <c r="G44" s="7" t="s">
        <v>9</v>
      </c>
      <c r="H44" s="7" t="s">
        <v>10</v>
      </c>
      <c r="I44" s="7" t="s">
        <v>11</v>
      </c>
      <c r="J44" s="7" t="s">
        <v>12</v>
      </c>
      <c r="K44" s="7" t="s">
        <v>13</v>
      </c>
      <c r="L44" s="7" t="s">
        <v>14</v>
      </c>
      <c r="M44" s="7" t="s">
        <v>15</v>
      </c>
      <c r="N44" s="7" t="s">
        <v>3</v>
      </c>
      <c r="O44" s="8"/>
    </row>
    <row r="45" spans="1:15" x14ac:dyDescent="0.25">
      <c r="A45" s="7" t="s">
        <v>19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3"/>
      <c r="O45" s="8"/>
    </row>
    <row r="46" spans="1:15" x14ac:dyDescent="0.25">
      <c r="A46" s="8" t="s">
        <v>119</v>
      </c>
      <c r="B46" s="33">
        <f>SUM(30*25*4)</f>
        <v>3000</v>
      </c>
      <c r="C46" s="33">
        <f>SUM(30*25*4)</f>
        <v>3000</v>
      </c>
      <c r="D46" s="33">
        <f>SUM(30*25*4)</f>
        <v>3000</v>
      </c>
      <c r="E46" s="33">
        <f>SUM(31*25*4)</f>
        <v>3100</v>
      </c>
      <c r="F46" s="33">
        <f>SUM(31*25*4)</f>
        <v>3100</v>
      </c>
      <c r="G46" s="33">
        <f>SUM(30*25*4)</f>
        <v>3000</v>
      </c>
      <c r="H46" s="33">
        <f>SUM(31*25*4)</f>
        <v>3100</v>
      </c>
      <c r="I46" s="33">
        <f>SUM(30*25*4)</f>
        <v>3000</v>
      </c>
      <c r="J46" s="33">
        <f>SUM(24*25*4)</f>
        <v>2400</v>
      </c>
      <c r="K46" s="33">
        <f>SUM(24*25*4)</f>
        <v>2400</v>
      </c>
      <c r="L46" s="33">
        <f>SUM(28*25*4)</f>
        <v>2800</v>
      </c>
      <c r="M46" s="33">
        <f>SUM(31*25*4)</f>
        <v>3100</v>
      </c>
      <c r="N46" s="33">
        <f>SUM(B46:M46)</f>
        <v>35000</v>
      </c>
      <c r="O46" s="8"/>
    </row>
    <row r="47" spans="1:15" x14ac:dyDescent="0.25">
      <c r="A47" s="8" t="s">
        <v>124</v>
      </c>
      <c r="B47" s="33">
        <f>SUM(10*6.5*2)</f>
        <v>130</v>
      </c>
      <c r="C47" s="33">
        <f t="shared" ref="C47:M47" si="61">SUM(10*6.5*2)</f>
        <v>130</v>
      </c>
      <c r="D47" s="33">
        <f t="shared" si="61"/>
        <v>130</v>
      </c>
      <c r="E47" s="33">
        <f t="shared" si="61"/>
        <v>130</v>
      </c>
      <c r="F47" s="33">
        <f t="shared" si="61"/>
        <v>130</v>
      </c>
      <c r="G47" s="33">
        <f t="shared" si="61"/>
        <v>130</v>
      </c>
      <c r="H47" s="33">
        <f t="shared" si="61"/>
        <v>130</v>
      </c>
      <c r="I47" s="33">
        <f t="shared" si="61"/>
        <v>130</v>
      </c>
      <c r="J47" s="33">
        <f t="shared" si="61"/>
        <v>130</v>
      </c>
      <c r="K47" s="33">
        <f t="shared" si="61"/>
        <v>130</v>
      </c>
      <c r="L47" s="33">
        <f t="shared" si="61"/>
        <v>130</v>
      </c>
      <c r="M47" s="33">
        <f t="shared" si="61"/>
        <v>130</v>
      </c>
      <c r="N47" s="33">
        <f>SUM(B47:M47)</f>
        <v>1560</v>
      </c>
      <c r="O47" s="8"/>
    </row>
    <row r="48" spans="1:15" x14ac:dyDescent="0.25">
      <c r="A48" s="8" t="s">
        <v>125</v>
      </c>
      <c r="B48" s="33">
        <v>0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f>SUM(B48:M48)</f>
        <v>0</v>
      </c>
      <c r="O48" s="13"/>
    </row>
    <row r="49" spans="1:15" x14ac:dyDescent="0.25">
      <c r="A49" s="7" t="s">
        <v>22</v>
      </c>
      <c r="B49" s="33">
        <f t="shared" ref="B49" si="62">SUM(B46:B48)</f>
        <v>3130</v>
      </c>
      <c r="C49" s="33">
        <f t="shared" ref="C49" si="63">SUM(C46:C48)</f>
        <v>3130</v>
      </c>
      <c r="D49" s="33">
        <f t="shared" ref="D49" si="64">SUM(D46:D48)</f>
        <v>3130</v>
      </c>
      <c r="E49" s="33">
        <f t="shared" ref="E49" si="65">SUM(E46:E48)</f>
        <v>3230</v>
      </c>
      <c r="F49" s="33">
        <f t="shared" ref="F49" si="66">SUM(F46:F48)</f>
        <v>3230</v>
      </c>
      <c r="G49" s="33">
        <f t="shared" ref="G49" si="67">SUM(G46:G48)</f>
        <v>3130</v>
      </c>
      <c r="H49" s="33">
        <f t="shared" ref="H49" si="68">SUM(H46:H48)</f>
        <v>3230</v>
      </c>
      <c r="I49" s="33">
        <f t="shared" ref="I49" si="69">SUM(I46:I48)</f>
        <v>3130</v>
      </c>
      <c r="J49" s="33">
        <f t="shared" ref="J49" si="70">SUM(J46:J48)</f>
        <v>2530</v>
      </c>
      <c r="K49" s="33">
        <f t="shared" ref="K49" si="71">SUM(K46:K48)</f>
        <v>2530</v>
      </c>
      <c r="L49" s="33">
        <f t="shared" ref="L49" si="72">SUM(L46:L48)</f>
        <v>2930</v>
      </c>
      <c r="M49" s="33">
        <f t="shared" ref="M49" si="73">SUM(M46:M48)</f>
        <v>3230</v>
      </c>
      <c r="N49" s="33">
        <f t="shared" ref="N49" si="74">SUM(N46:N48)</f>
        <v>36560</v>
      </c>
      <c r="O49" s="13"/>
    </row>
    <row r="50" spans="1:15" x14ac:dyDescent="0.25">
      <c r="A50" s="11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12"/>
      <c r="O50" s="10"/>
    </row>
    <row r="51" spans="1:15" x14ac:dyDescent="0.25">
      <c r="A51" s="7" t="s">
        <v>203</v>
      </c>
      <c r="B51" s="7" t="s">
        <v>4</v>
      </c>
      <c r="C51" s="7" t="s">
        <v>5</v>
      </c>
      <c r="D51" s="7" t="s">
        <v>6</v>
      </c>
      <c r="E51" s="7" t="s">
        <v>7</v>
      </c>
      <c r="F51" s="7" t="s">
        <v>8</v>
      </c>
      <c r="G51" s="7" t="s">
        <v>9</v>
      </c>
      <c r="H51" s="7" t="s">
        <v>10</v>
      </c>
      <c r="I51" s="7" t="s">
        <v>11</v>
      </c>
      <c r="J51" s="7" t="s">
        <v>12</v>
      </c>
      <c r="K51" s="7" t="s">
        <v>13</v>
      </c>
      <c r="L51" s="7" t="s">
        <v>14</v>
      </c>
      <c r="M51" s="7" t="s">
        <v>15</v>
      </c>
      <c r="N51" s="7" t="s">
        <v>3</v>
      </c>
      <c r="O51" s="8"/>
    </row>
    <row r="52" spans="1:15" x14ac:dyDescent="0.25">
      <c r="A52" s="7" t="s">
        <v>19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3"/>
      <c r="O52" s="8"/>
    </row>
    <row r="53" spans="1:15" x14ac:dyDescent="0.25">
      <c r="A53" s="8" t="s">
        <v>119</v>
      </c>
      <c r="B53" s="33">
        <f>SUM(30*25*4)</f>
        <v>3000</v>
      </c>
      <c r="C53" s="33">
        <f>SUM(30*25*4)</f>
        <v>3000</v>
      </c>
      <c r="D53" s="33">
        <f>SUM(30*25*4)</f>
        <v>3000</v>
      </c>
      <c r="E53" s="33">
        <f>SUM(31*25*4)</f>
        <v>3100</v>
      </c>
      <c r="F53" s="33">
        <f>SUM(31*25*4)</f>
        <v>3100</v>
      </c>
      <c r="G53" s="33">
        <f>SUM(30*25*4)</f>
        <v>3000</v>
      </c>
      <c r="H53" s="33">
        <f>SUM(31*25*4)</f>
        <v>3100</v>
      </c>
      <c r="I53" s="33">
        <f>SUM(30*25*4)</f>
        <v>3000</v>
      </c>
      <c r="J53" s="33">
        <f>SUM(24*25*4)</f>
        <v>2400</v>
      </c>
      <c r="K53" s="33">
        <f>SUM(24*25*4)</f>
        <v>2400</v>
      </c>
      <c r="L53" s="33">
        <f>SUM(28*25*4)</f>
        <v>2800</v>
      </c>
      <c r="M53" s="33">
        <f>SUM(31*25*4)</f>
        <v>3100</v>
      </c>
      <c r="N53" s="33">
        <f>SUM(B53:M53)</f>
        <v>35000</v>
      </c>
      <c r="O53" s="8"/>
    </row>
    <row r="54" spans="1:15" x14ac:dyDescent="0.25">
      <c r="A54" s="8" t="s">
        <v>124</v>
      </c>
      <c r="B54" s="33">
        <f>SUM(10*6.5*2)</f>
        <v>130</v>
      </c>
      <c r="C54" s="33">
        <f t="shared" ref="C54:M54" si="75">SUM(10*6.5*2)</f>
        <v>130</v>
      </c>
      <c r="D54" s="33">
        <f t="shared" si="75"/>
        <v>130</v>
      </c>
      <c r="E54" s="33">
        <f t="shared" si="75"/>
        <v>130</v>
      </c>
      <c r="F54" s="33">
        <f t="shared" si="75"/>
        <v>130</v>
      </c>
      <c r="G54" s="33">
        <f t="shared" si="75"/>
        <v>130</v>
      </c>
      <c r="H54" s="33">
        <f t="shared" si="75"/>
        <v>130</v>
      </c>
      <c r="I54" s="33">
        <f t="shared" si="75"/>
        <v>130</v>
      </c>
      <c r="J54" s="33">
        <f t="shared" si="75"/>
        <v>130</v>
      </c>
      <c r="K54" s="33">
        <f t="shared" si="75"/>
        <v>130</v>
      </c>
      <c r="L54" s="33">
        <f t="shared" si="75"/>
        <v>130</v>
      </c>
      <c r="M54" s="33">
        <f t="shared" si="75"/>
        <v>130</v>
      </c>
      <c r="N54" s="33">
        <f>SUM(B54:M54)</f>
        <v>1560</v>
      </c>
      <c r="O54" s="8"/>
    </row>
    <row r="55" spans="1:15" x14ac:dyDescent="0.25">
      <c r="A55" s="8" t="s">
        <v>125</v>
      </c>
      <c r="B55" s="33">
        <v>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f>SUM(B55:M55)</f>
        <v>0</v>
      </c>
      <c r="O55" s="13"/>
    </row>
    <row r="56" spans="1:15" x14ac:dyDescent="0.25">
      <c r="A56" s="7" t="s">
        <v>22</v>
      </c>
      <c r="B56" s="33">
        <f t="shared" ref="B56" si="76">SUM(B53:B55)</f>
        <v>3130</v>
      </c>
      <c r="C56" s="33">
        <f t="shared" ref="C56" si="77">SUM(C53:C55)</f>
        <v>3130</v>
      </c>
      <c r="D56" s="33">
        <f t="shared" ref="D56" si="78">SUM(D53:D55)</f>
        <v>3130</v>
      </c>
      <c r="E56" s="33">
        <f t="shared" ref="E56" si="79">SUM(E53:E55)</f>
        <v>3230</v>
      </c>
      <c r="F56" s="33">
        <f t="shared" ref="F56" si="80">SUM(F53:F55)</f>
        <v>3230</v>
      </c>
      <c r="G56" s="33">
        <f t="shared" ref="G56" si="81">SUM(G53:G55)</f>
        <v>3130</v>
      </c>
      <c r="H56" s="33">
        <f t="shared" ref="H56" si="82">SUM(H53:H55)</f>
        <v>3230</v>
      </c>
      <c r="I56" s="33">
        <f t="shared" ref="I56" si="83">SUM(I53:I55)</f>
        <v>3130</v>
      </c>
      <c r="J56" s="33">
        <f t="shared" ref="J56" si="84">SUM(J53:J55)</f>
        <v>2530</v>
      </c>
      <c r="K56" s="33">
        <f t="shared" ref="K56" si="85">SUM(K53:K55)</f>
        <v>2530</v>
      </c>
      <c r="L56" s="33">
        <f t="shared" ref="L56" si="86">SUM(L53:L55)</f>
        <v>2930</v>
      </c>
      <c r="M56" s="33">
        <f t="shared" ref="M56" si="87">SUM(M53:M55)</f>
        <v>3230</v>
      </c>
      <c r="N56" s="33">
        <f t="shared" ref="N56" si="88">SUM(N53:N55)</f>
        <v>36560</v>
      </c>
      <c r="O56" s="13"/>
    </row>
    <row r="57" spans="1:15" x14ac:dyDescent="0.25">
      <c r="A57" s="11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12"/>
      <c r="O57" s="10"/>
    </row>
  </sheetData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workbookViewId="0">
      <selection activeCell="P21" sqref="P21"/>
    </sheetView>
  </sheetViews>
  <sheetFormatPr defaultRowHeight="15" x14ac:dyDescent="0.25"/>
  <cols>
    <col min="1" max="1" width="18.140625" customWidth="1"/>
    <col min="15" max="15" width="2.7109375" customWidth="1"/>
  </cols>
  <sheetData>
    <row r="1" spans="1:15" s="5" customFormat="1" x14ac:dyDescent="0.25">
      <c r="A1" s="7" t="s">
        <v>118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s="5" customFormat="1" x14ac:dyDescent="0.25">
      <c r="A2" s="7" t="s">
        <v>115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3</v>
      </c>
      <c r="O2" s="8"/>
    </row>
    <row r="3" spans="1:15" s="5" customFormat="1" x14ac:dyDescent="0.25">
      <c r="A3" s="7" t="s">
        <v>19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3"/>
      <c r="O3" s="8"/>
    </row>
    <row r="4" spans="1:15" s="5" customFormat="1" x14ac:dyDescent="0.25">
      <c r="A4" s="8" t="s">
        <v>119</v>
      </c>
      <c r="B4" s="29">
        <v>0</v>
      </c>
      <c r="C4" s="29">
        <v>0</v>
      </c>
      <c r="D4" s="29">
        <v>0</v>
      </c>
      <c r="E4" s="29">
        <f>SUM((7*18)*30)</f>
        <v>3780</v>
      </c>
      <c r="F4" s="29">
        <f>SUM((31*24)*30)</f>
        <v>22320</v>
      </c>
      <c r="G4" s="29">
        <f>SUM((30*14)*30)</f>
        <v>12600</v>
      </c>
      <c r="H4" s="29">
        <f>SUM((31*10)*30)</f>
        <v>9300</v>
      </c>
      <c r="I4" s="29">
        <f>SUM((30*2)*30)</f>
        <v>1800</v>
      </c>
      <c r="J4" s="29">
        <f>SUM((7*24)*30)</f>
        <v>5040</v>
      </c>
      <c r="K4" s="29">
        <f>SUM((31*2)*30)</f>
        <v>1860</v>
      </c>
      <c r="L4" s="29">
        <f>SUM((28*2)*30)</f>
        <v>1680</v>
      </c>
      <c r="M4" s="29">
        <f>SUM((31*3)*30)</f>
        <v>2790</v>
      </c>
      <c r="N4" s="33">
        <f>SUM(B4:M4)</f>
        <v>61170</v>
      </c>
      <c r="O4" s="8"/>
    </row>
    <row r="5" spans="1:15" s="5" customFormat="1" x14ac:dyDescent="0.25">
      <c r="A5" s="8"/>
      <c r="B5" s="29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33">
        <f>SUM(B5:M5)</f>
        <v>0</v>
      </c>
      <c r="O5" s="13"/>
    </row>
    <row r="6" spans="1:15" s="5" customFormat="1" x14ac:dyDescent="0.25">
      <c r="A6" s="7" t="s">
        <v>22</v>
      </c>
      <c r="B6" s="29">
        <f t="shared" ref="B6:N6" si="0">SUM(B4:B5)</f>
        <v>0</v>
      </c>
      <c r="C6" s="29">
        <f t="shared" si="0"/>
        <v>0</v>
      </c>
      <c r="D6" s="29">
        <f t="shared" si="0"/>
        <v>0</v>
      </c>
      <c r="E6" s="29">
        <f t="shared" si="0"/>
        <v>3780</v>
      </c>
      <c r="F6" s="29">
        <f t="shared" si="0"/>
        <v>22320</v>
      </c>
      <c r="G6" s="29">
        <f t="shared" si="0"/>
        <v>12600</v>
      </c>
      <c r="H6" s="29">
        <f t="shared" si="0"/>
        <v>9300</v>
      </c>
      <c r="I6" s="29">
        <f t="shared" si="0"/>
        <v>1800</v>
      </c>
      <c r="J6" s="29">
        <f t="shared" si="0"/>
        <v>5040</v>
      </c>
      <c r="K6" s="29">
        <f t="shared" si="0"/>
        <v>1860</v>
      </c>
      <c r="L6" s="29">
        <f t="shared" si="0"/>
        <v>1680</v>
      </c>
      <c r="M6" s="29">
        <f t="shared" si="0"/>
        <v>2790</v>
      </c>
      <c r="N6" s="33">
        <f t="shared" si="0"/>
        <v>61170</v>
      </c>
      <c r="O6" s="13"/>
    </row>
    <row r="7" spans="1:15" s="5" customFormat="1" x14ac:dyDescent="0.25">
      <c r="A7" s="7" t="s">
        <v>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3"/>
      <c r="O7" s="13"/>
    </row>
    <row r="8" spans="1:15" s="5" customFormat="1" x14ac:dyDescent="0.25">
      <c r="A8" s="8" t="s">
        <v>120</v>
      </c>
      <c r="B8" s="29">
        <v>0</v>
      </c>
      <c r="C8" s="29">
        <v>0</v>
      </c>
      <c r="D8" s="29">
        <v>0</v>
      </c>
      <c r="E8" s="29">
        <v>150</v>
      </c>
      <c r="F8" s="29">
        <v>150</v>
      </c>
      <c r="G8" s="29">
        <v>150</v>
      </c>
      <c r="H8" s="29">
        <v>150</v>
      </c>
      <c r="I8" s="29">
        <v>150</v>
      </c>
      <c r="J8" s="29">
        <v>150</v>
      </c>
      <c r="K8" s="29">
        <v>150</v>
      </c>
      <c r="L8" s="29">
        <v>150</v>
      </c>
      <c r="M8" s="29">
        <v>150</v>
      </c>
      <c r="N8" s="33">
        <f>SUM(B8:M8)</f>
        <v>1350</v>
      </c>
      <c r="O8" s="13"/>
    </row>
    <row r="9" spans="1:15" s="5" customFormat="1" x14ac:dyDescent="0.25">
      <c r="A9" s="15" t="s">
        <v>121</v>
      </c>
      <c r="B9" s="29">
        <v>0</v>
      </c>
      <c r="C9" s="29">
        <v>0</v>
      </c>
      <c r="D9" s="29">
        <v>0</v>
      </c>
      <c r="E9" s="29">
        <v>50</v>
      </c>
      <c r="F9" s="29">
        <v>50</v>
      </c>
      <c r="G9" s="29">
        <v>50</v>
      </c>
      <c r="H9" s="29">
        <v>50</v>
      </c>
      <c r="I9" s="29">
        <v>50</v>
      </c>
      <c r="J9" s="29">
        <v>50</v>
      </c>
      <c r="K9" s="29">
        <v>50</v>
      </c>
      <c r="L9" s="29">
        <v>50</v>
      </c>
      <c r="M9" s="29">
        <v>50</v>
      </c>
      <c r="N9" s="33">
        <f t="shared" ref="N9:N15" si="1">SUM(B9:M9)</f>
        <v>450</v>
      </c>
      <c r="O9" s="13"/>
    </row>
    <row r="10" spans="1:15" s="5" customFormat="1" x14ac:dyDescent="0.25">
      <c r="A10" s="15" t="s">
        <v>122</v>
      </c>
      <c r="B10" s="29">
        <v>0</v>
      </c>
      <c r="C10" s="29">
        <v>0</v>
      </c>
      <c r="D10" s="29">
        <v>0</v>
      </c>
      <c r="E10" s="29">
        <f>SUM(E4/10)</f>
        <v>378</v>
      </c>
      <c r="F10" s="29">
        <f t="shared" ref="F10:M10" si="2">SUM(F4/10)</f>
        <v>2232</v>
      </c>
      <c r="G10" s="29">
        <f t="shared" si="2"/>
        <v>1260</v>
      </c>
      <c r="H10" s="29">
        <f t="shared" si="2"/>
        <v>930</v>
      </c>
      <c r="I10" s="29">
        <f t="shared" si="2"/>
        <v>180</v>
      </c>
      <c r="J10" s="29">
        <f t="shared" si="2"/>
        <v>504</v>
      </c>
      <c r="K10" s="29">
        <f t="shared" si="2"/>
        <v>186</v>
      </c>
      <c r="L10" s="29">
        <f t="shared" si="2"/>
        <v>168</v>
      </c>
      <c r="M10" s="29">
        <f t="shared" si="2"/>
        <v>279</v>
      </c>
      <c r="N10" s="33">
        <f t="shared" si="1"/>
        <v>6117</v>
      </c>
      <c r="O10" s="13"/>
    </row>
    <row r="11" spans="1:15" s="5" customFormat="1" x14ac:dyDescent="0.25">
      <c r="A11" s="15" t="s">
        <v>141</v>
      </c>
      <c r="B11" s="29">
        <v>0</v>
      </c>
      <c r="C11" s="29">
        <v>0</v>
      </c>
      <c r="D11" s="29">
        <v>0</v>
      </c>
      <c r="E11" s="29">
        <v>1000</v>
      </c>
      <c r="F11" s="29">
        <v>1000</v>
      </c>
      <c r="G11" s="29">
        <v>1000</v>
      </c>
      <c r="H11" s="29">
        <v>1000</v>
      </c>
      <c r="I11" s="29">
        <v>1000</v>
      </c>
      <c r="J11" s="29">
        <v>1000</v>
      </c>
      <c r="K11" s="29">
        <v>1000</v>
      </c>
      <c r="L11" s="29">
        <v>1000</v>
      </c>
      <c r="M11" s="29">
        <v>1000</v>
      </c>
      <c r="N11" s="33">
        <f t="shared" si="1"/>
        <v>9000</v>
      </c>
      <c r="O11" s="13"/>
    </row>
    <row r="12" spans="1:15" s="5" customFormat="1" x14ac:dyDescent="0.25">
      <c r="A12" s="15" t="s">
        <v>66</v>
      </c>
      <c r="B12" s="29">
        <v>0</v>
      </c>
      <c r="C12" s="29">
        <v>0</v>
      </c>
      <c r="D12" s="29">
        <v>0</v>
      </c>
      <c r="E12" s="29">
        <v>100</v>
      </c>
      <c r="F12" s="29">
        <v>100</v>
      </c>
      <c r="G12" s="29">
        <v>100</v>
      </c>
      <c r="H12" s="29">
        <v>100</v>
      </c>
      <c r="I12" s="29">
        <v>100</v>
      </c>
      <c r="J12" s="29">
        <v>100</v>
      </c>
      <c r="K12" s="29">
        <v>100</v>
      </c>
      <c r="L12" s="29">
        <v>100</v>
      </c>
      <c r="M12" s="29">
        <v>100</v>
      </c>
      <c r="N12" s="33">
        <f t="shared" si="1"/>
        <v>900</v>
      </c>
      <c r="O12" s="13"/>
    </row>
    <row r="13" spans="1:15" s="5" customFormat="1" x14ac:dyDescent="0.25">
      <c r="A13" s="15" t="s">
        <v>142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1500</v>
      </c>
      <c r="N13" s="33">
        <f t="shared" si="1"/>
        <v>1500</v>
      </c>
      <c r="O13" s="13"/>
    </row>
    <row r="14" spans="1:15" s="5" customFormat="1" x14ac:dyDescent="0.25">
      <c r="A14" s="15" t="s">
        <v>143</v>
      </c>
      <c r="B14" s="29">
        <v>0</v>
      </c>
      <c r="C14" s="29">
        <v>0</v>
      </c>
      <c r="D14" s="29">
        <v>0</v>
      </c>
      <c r="E14" s="29">
        <v>100</v>
      </c>
      <c r="F14" s="29">
        <v>100</v>
      </c>
      <c r="G14" s="29">
        <v>100</v>
      </c>
      <c r="H14" s="29">
        <v>100</v>
      </c>
      <c r="I14" s="29">
        <v>100</v>
      </c>
      <c r="J14" s="29">
        <v>100</v>
      </c>
      <c r="K14" s="29">
        <v>100</v>
      </c>
      <c r="L14" s="29">
        <v>100</v>
      </c>
      <c r="M14" s="29">
        <v>100</v>
      </c>
      <c r="N14" s="33">
        <f t="shared" si="1"/>
        <v>900</v>
      </c>
      <c r="O14" s="13"/>
    </row>
    <row r="15" spans="1:15" s="5" customFormat="1" x14ac:dyDescent="0.25">
      <c r="A15" s="15" t="s">
        <v>169</v>
      </c>
      <c r="B15" s="29">
        <v>0</v>
      </c>
      <c r="C15" s="29">
        <v>0</v>
      </c>
      <c r="D15" s="29">
        <v>0</v>
      </c>
      <c r="E15" s="29">
        <f>Staffing!$E$44</f>
        <v>812.10133333333317</v>
      </c>
      <c r="F15" s="29">
        <f>Staffing!$E$44</f>
        <v>812.10133333333317</v>
      </c>
      <c r="G15" s="29">
        <f>Staffing!$E$44</f>
        <v>812.10133333333317</v>
      </c>
      <c r="H15" s="29">
        <f>Staffing!$E$44</f>
        <v>812.10133333333317</v>
      </c>
      <c r="I15" s="29">
        <f>Staffing!$E$44</f>
        <v>812.10133333333317</v>
      </c>
      <c r="J15" s="29">
        <f>Staffing!$E$44</f>
        <v>812.10133333333317</v>
      </c>
      <c r="K15" s="29">
        <f>Staffing!$E$44</f>
        <v>812.10133333333317</v>
      </c>
      <c r="L15" s="29">
        <f>Staffing!$E$44</f>
        <v>812.10133333333317</v>
      </c>
      <c r="M15" s="29">
        <f>Staffing!$E$44</f>
        <v>812.10133333333317</v>
      </c>
      <c r="N15" s="33">
        <f t="shared" si="1"/>
        <v>7308.9119999999984</v>
      </c>
      <c r="O15" s="13"/>
    </row>
    <row r="16" spans="1:15" s="5" customFormat="1" x14ac:dyDescent="0.25">
      <c r="A16" s="7" t="s">
        <v>24</v>
      </c>
      <c r="B16" s="29">
        <f t="shared" ref="B16:N16" si="3">SUM(B8:B15)</f>
        <v>0</v>
      </c>
      <c r="C16" s="29">
        <f t="shared" si="3"/>
        <v>0</v>
      </c>
      <c r="D16" s="29">
        <f t="shared" si="3"/>
        <v>0</v>
      </c>
      <c r="E16" s="29">
        <f t="shared" si="3"/>
        <v>2590.1013333333331</v>
      </c>
      <c r="F16" s="29">
        <f t="shared" si="3"/>
        <v>4444.1013333333331</v>
      </c>
      <c r="G16" s="29">
        <f t="shared" si="3"/>
        <v>3472.1013333333331</v>
      </c>
      <c r="H16" s="29">
        <f t="shared" si="3"/>
        <v>3142.1013333333331</v>
      </c>
      <c r="I16" s="29">
        <f t="shared" si="3"/>
        <v>2392.1013333333331</v>
      </c>
      <c r="J16" s="29">
        <f t="shared" si="3"/>
        <v>2716.1013333333331</v>
      </c>
      <c r="K16" s="29">
        <f t="shared" si="3"/>
        <v>2398.1013333333331</v>
      </c>
      <c r="L16" s="29">
        <f t="shared" si="3"/>
        <v>2380.1013333333331</v>
      </c>
      <c r="M16" s="29">
        <f t="shared" si="3"/>
        <v>3991.1013333333331</v>
      </c>
      <c r="N16" s="33">
        <f t="shared" si="3"/>
        <v>27525.911999999997</v>
      </c>
      <c r="O16" s="13"/>
    </row>
    <row r="17" spans="1:15" s="5" customFormat="1" x14ac:dyDescent="0.25">
      <c r="A17" s="11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2"/>
      <c r="O17" s="10"/>
    </row>
    <row r="18" spans="1:15" x14ac:dyDescent="0.25">
      <c r="A18" s="7" t="s">
        <v>118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x14ac:dyDescent="0.25">
      <c r="A19" s="7" t="s">
        <v>116</v>
      </c>
      <c r="B19" s="7" t="s">
        <v>4</v>
      </c>
      <c r="C19" s="7" t="s">
        <v>5</v>
      </c>
      <c r="D19" s="7" t="s">
        <v>6</v>
      </c>
      <c r="E19" s="7" t="s">
        <v>7</v>
      </c>
      <c r="F19" s="7" t="s">
        <v>8</v>
      </c>
      <c r="G19" s="7" t="s">
        <v>9</v>
      </c>
      <c r="H19" s="7" t="s">
        <v>10</v>
      </c>
      <c r="I19" s="7" t="s">
        <v>11</v>
      </c>
      <c r="J19" s="7" t="s">
        <v>12</v>
      </c>
      <c r="K19" s="7" t="s">
        <v>13</v>
      </c>
      <c r="L19" s="7" t="s">
        <v>14</v>
      </c>
      <c r="M19" s="7" t="s">
        <v>15</v>
      </c>
      <c r="N19" s="7" t="s">
        <v>3</v>
      </c>
      <c r="O19" s="8"/>
    </row>
    <row r="20" spans="1:15" x14ac:dyDescent="0.25">
      <c r="A20" s="7" t="s">
        <v>19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3"/>
      <c r="O20" s="8"/>
    </row>
    <row r="21" spans="1:15" x14ac:dyDescent="0.25">
      <c r="A21" s="8" t="s">
        <v>119</v>
      </c>
      <c r="B21" s="29">
        <f>SUM((30*20)*33)</f>
        <v>19800</v>
      </c>
      <c r="C21" s="29">
        <f>SUM((31*10)*33)</f>
        <v>10230</v>
      </c>
      <c r="D21" s="29">
        <f>SUM((30*14)*33)</f>
        <v>13860</v>
      </c>
      <c r="E21" s="29">
        <f>SUM((31*24)*33)</f>
        <v>24552</v>
      </c>
      <c r="F21" s="29">
        <f>SUM((31*24)*33)</f>
        <v>24552</v>
      </c>
      <c r="G21" s="29">
        <f>SUM((30*14)*33)</f>
        <v>13860</v>
      </c>
      <c r="H21" s="29">
        <f>SUM((31*10)*33)</f>
        <v>10230</v>
      </c>
      <c r="I21" s="29">
        <f>SUM((30*2)*33)</f>
        <v>1980</v>
      </c>
      <c r="J21" s="29">
        <f>SUM((7*24)*33)</f>
        <v>5544</v>
      </c>
      <c r="K21" s="29">
        <f>SUM((31*2)*33)</f>
        <v>2046</v>
      </c>
      <c r="L21" s="29">
        <f>SUM((28*2)*33)</f>
        <v>1848</v>
      </c>
      <c r="M21" s="29">
        <f>SUM((31*3)*33)</f>
        <v>3069</v>
      </c>
      <c r="N21" s="33">
        <f>SUM(B21:M21)</f>
        <v>131571</v>
      </c>
      <c r="O21" s="8"/>
    </row>
    <row r="22" spans="1:15" x14ac:dyDescent="0.25">
      <c r="A22" s="8"/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33">
        <f>SUM(B22:M22)</f>
        <v>0</v>
      </c>
      <c r="O22" s="13"/>
    </row>
    <row r="23" spans="1:15" x14ac:dyDescent="0.25">
      <c r="A23" s="7" t="s">
        <v>22</v>
      </c>
      <c r="B23" s="29">
        <f t="shared" ref="B23:N23" si="4">SUM(B21:B22)</f>
        <v>19800</v>
      </c>
      <c r="C23" s="29">
        <f t="shared" si="4"/>
        <v>10230</v>
      </c>
      <c r="D23" s="29">
        <f t="shared" si="4"/>
        <v>13860</v>
      </c>
      <c r="E23" s="29">
        <f t="shared" si="4"/>
        <v>24552</v>
      </c>
      <c r="F23" s="29">
        <f t="shared" si="4"/>
        <v>24552</v>
      </c>
      <c r="G23" s="29">
        <f t="shared" si="4"/>
        <v>13860</v>
      </c>
      <c r="H23" s="29">
        <f t="shared" si="4"/>
        <v>10230</v>
      </c>
      <c r="I23" s="29">
        <f t="shared" si="4"/>
        <v>1980</v>
      </c>
      <c r="J23" s="29">
        <f t="shared" si="4"/>
        <v>5544</v>
      </c>
      <c r="K23" s="29">
        <f t="shared" si="4"/>
        <v>2046</v>
      </c>
      <c r="L23" s="29">
        <f t="shared" si="4"/>
        <v>1848</v>
      </c>
      <c r="M23" s="29">
        <f t="shared" si="4"/>
        <v>3069</v>
      </c>
      <c r="N23" s="33">
        <f t="shared" si="4"/>
        <v>131571</v>
      </c>
      <c r="O23" s="13"/>
    </row>
    <row r="24" spans="1:15" x14ac:dyDescent="0.25">
      <c r="A24" s="7" t="s">
        <v>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3"/>
      <c r="O24" s="13"/>
    </row>
    <row r="25" spans="1:15" x14ac:dyDescent="0.25">
      <c r="A25" s="8" t="s">
        <v>120</v>
      </c>
      <c r="B25" s="29">
        <v>150</v>
      </c>
      <c r="C25" s="29">
        <v>150</v>
      </c>
      <c r="D25" s="29">
        <v>150</v>
      </c>
      <c r="E25" s="29">
        <v>150</v>
      </c>
      <c r="F25" s="29">
        <v>150</v>
      </c>
      <c r="G25" s="29">
        <v>150</v>
      </c>
      <c r="H25" s="29">
        <v>150</v>
      </c>
      <c r="I25" s="29">
        <v>150</v>
      </c>
      <c r="J25" s="29">
        <v>150</v>
      </c>
      <c r="K25" s="29">
        <v>150</v>
      </c>
      <c r="L25" s="29">
        <v>150</v>
      </c>
      <c r="M25" s="29">
        <v>150</v>
      </c>
      <c r="N25" s="33">
        <f>SUM(B25:M25)</f>
        <v>1800</v>
      </c>
      <c r="O25" s="13"/>
    </row>
    <row r="26" spans="1:15" x14ac:dyDescent="0.25">
      <c r="A26" s="15" t="s">
        <v>121</v>
      </c>
      <c r="B26" s="29">
        <v>50</v>
      </c>
      <c r="C26" s="29">
        <v>50</v>
      </c>
      <c r="D26" s="29">
        <v>50</v>
      </c>
      <c r="E26" s="29">
        <v>50</v>
      </c>
      <c r="F26" s="29">
        <v>50</v>
      </c>
      <c r="G26" s="29">
        <v>50</v>
      </c>
      <c r="H26" s="29">
        <v>50</v>
      </c>
      <c r="I26" s="29">
        <v>50</v>
      </c>
      <c r="J26" s="29">
        <v>50</v>
      </c>
      <c r="K26" s="29">
        <v>50</v>
      </c>
      <c r="L26" s="29">
        <v>50</v>
      </c>
      <c r="M26" s="29">
        <v>50</v>
      </c>
      <c r="N26" s="33">
        <f t="shared" ref="N26:N27" si="5">SUM(B26:M26)</f>
        <v>600</v>
      </c>
      <c r="O26" s="13"/>
    </row>
    <row r="27" spans="1:15" x14ac:dyDescent="0.25">
      <c r="A27" s="15" t="s">
        <v>122</v>
      </c>
      <c r="B27" s="29">
        <f t="shared" ref="B27:D27" si="6">SUM(B21/10)</f>
        <v>1980</v>
      </c>
      <c r="C27" s="29">
        <f t="shared" si="6"/>
        <v>1023</v>
      </c>
      <c r="D27" s="29">
        <f t="shared" si="6"/>
        <v>1386</v>
      </c>
      <c r="E27" s="29">
        <f>SUM(E21/10)</f>
        <v>2455.1999999999998</v>
      </c>
      <c r="F27" s="29">
        <f t="shared" ref="F27:M27" si="7">SUM(F21/10)</f>
        <v>2455.1999999999998</v>
      </c>
      <c r="G27" s="29">
        <f t="shared" si="7"/>
        <v>1386</v>
      </c>
      <c r="H27" s="29">
        <f t="shared" si="7"/>
        <v>1023</v>
      </c>
      <c r="I27" s="29">
        <f t="shared" si="7"/>
        <v>198</v>
      </c>
      <c r="J27" s="29">
        <f t="shared" si="7"/>
        <v>554.4</v>
      </c>
      <c r="K27" s="29">
        <f t="shared" si="7"/>
        <v>204.6</v>
      </c>
      <c r="L27" s="29">
        <f t="shared" si="7"/>
        <v>184.8</v>
      </c>
      <c r="M27" s="29">
        <f t="shared" si="7"/>
        <v>306.89999999999998</v>
      </c>
      <c r="N27" s="33">
        <f t="shared" si="5"/>
        <v>13157.099999999999</v>
      </c>
      <c r="O27" s="13"/>
    </row>
    <row r="28" spans="1:15" s="5" customFormat="1" x14ac:dyDescent="0.25">
      <c r="A28" s="15" t="s">
        <v>141</v>
      </c>
      <c r="B28" s="29">
        <v>1000</v>
      </c>
      <c r="C28" s="29">
        <v>1000</v>
      </c>
      <c r="D28" s="29">
        <v>1000</v>
      </c>
      <c r="E28" s="29">
        <v>1000</v>
      </c>
      <c r="F28" s="29">
        <v>1000</v>
      </c>
      <c r="G28" s="29">
        <v>1000</v>
      </c>
      <c r="H28" s="29">
        <v>1000</v>
      </c>
      <c r="I28" s="29">
        <v>1000</v>
      </c>
      <c r="J28" s="29">
        <v>1000</v>
      </c>
      <c r="K28" s="29">
        <v>1000</v>
      </c>
      <c r="L28" s="29">
        <v>1000</v>
      </c>
      <c r="M28" s="29">
        <v>1000</v>
      </c>
      <c r="N28" s="33">
        <f t="shared" ref="N28:N31" si="8">SUM(B28:M28)</f>
        <v>12000</v>
      </c>
      <c r="O28" s="13"/>
    </row>
    <row r="29" spans="1:15" s="5" customFormat="1" x14ac:dyDescent="0.25">
      <c r="A29" s="15" t="s">
        <v>66</v>
      </c>
      <c r="B29" s="29">
        <v>100</v>
      </c>
      <c r="C29" s="29">
        <v>100</v>
      </c>
      <c r="D29" s="29">
        <v>100</v>
      </c>
      <c r="E29" s="29">
        <v>100</v>
      </c>
      <c r="F29" s="29">
        <v>100</v>
      </c>
      <c r="G29" s="29">
        <v>100</v>
      </c>
      <c r="H29" s="29">
        <v>100</v>
      </c>
      <c r="I29" s="29">
        <v>100</v>
      </c>
      <c r="J29" s="29">
        <v>100</v>
      </c>
      <c r="K29" s="29">
        <v>100</v>
      </c>
      <c r="L29" s="29">
        <v>100</v>
      </c>
      <c r="M29" s="29">
        <v>100</v>
      </c>
      <c r="N29" s="33">
        <f t="shared" si="8"/>
        <v>1200</v>
      </c>
      <c r="O29" s="13"/>
    </row>
    <row r="30" spans="1:15" s="5" customFormat="1" x14ac:dyDescent="0.25">
      <c r="A30" s="15" t="s">
        <v>142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1500</v>
      </c>
      <c r="N30" s="33">
        <f t="shared" si="8"/>
        <v>1500</v>
      </c>
      <c r="O30" s="13"/>
    </row>
    <row r="31" spans="1:15" s="5" customFormat="1" x14ac:dyDescent="0.25">
      <c r="A31" s="15" t="s">
        <v>143</v>
      </c>
      <c r="B31" s="29">
        <v>100</v>
      </c>
      <c r="C31" s="29">
        <v>100</v>
      </c>
      <c r="D31" s="29">
        <v>100</v>
      </c>
      <c r="E31" s="29">
        <v>100</v>
      </c>
      <c r="F31" s="29">
        <v>100</v>
      </c>
      <c r="G31" s="29">
        <v>100</v>
      </c>
      <c r="H31" s="29">
        <v>100</v>
      </c>
      <c r="I31" s="29">
        <v>100</v>
      </c>
      <c r="J31" s="29">
        <v>100</v>
      </c>
      <c r="K31" s="29">
        <v>100</v>
      </c>
      <c r="L31" s="29">
        <v>100</v>
      </c>
      <c r="M31" s="29">
        <v>100</v>
      </c>
      <c r="N31" s="33">
        <f t="shared" si="8"/>
        <v>1200</v>
      </c>
      <c r="O31" s="13"/>
    </row>
    <row r="32" spans="1:15" x14ac:dyDescent="0.25">
      <c r="A32" s="15" t="s">
        <v>169</v>
      </c>
      <c r="B32" s="29">
        <f>SUM(812/100*103)</f>
        <v>836.3599999999999</v>
      </c>
      <c r="C32" s="29">
        <f t="shared" ref="C32:M32" si="9">SUM(812/100*103)</f>
        <v>836.3599999999999</v>
      </c>
      <c r="D32" s="29">
        <f t="shared" si="9"/>
        <v>836.3599999999999</v>
      </c>
      <c r="E32" s="29">
        <f t="shared" si="9"/>
        <v>836.3599999999999</v>
      </c>
      <c r="F32" s="29">
        <f t="shared" si="9"/>
        <v>836.3599999999999</v>
      </c>
      <c r="G32" s="29">
        <f t="shared" si="9"/>
        <v>836.3599999999999</v>
      </c>
      <c r="H32" s="29">
        <f t="shared" si="9"/>
        <v>836.3599999999999</v>
      </c>
      <c r="I32" s="29">
        <f t="shared" si="9"/>
        <v>836.3599999999999</v>
      </c>
      <c r="J32" s="29">
        <f t="shared" si="9"/>
        <v>836.3599999999999</v>
      </c>
      <c r="K32" s="29">
        <f t="shared" si="9"/>
        <v>836.3599999999999</v>
      </c>
      <c r="L32" s="29">
        <f t="shared" si="9"/>
        <v>836.3599999999999</v>
      </c>
      <c r="M32" s="29">
        <f t="shared" si="9"/>
        <v>836.3599999999999</v>
      </c>
      <c r="N32" s="33">
        <f t="shared" ref="N32" si="10">SUM(B32:M32)</f>
        <v>10036.32</v>
      </c>
      <c r="O32" s="13"/>
    </row>
    <row r="33" spans="1:15" x14ac:dyDescent="0.25">
      <c r="A33" s="7" t="s">
        <v>24</v>
      </c>
      <c r="B33" s="29">
        <f t="shared" ref="B33:N33" si="11">SUM(B25:B32)</f>
        <v>4216.3599999999997</v>
      </c>
      <c r="C33" s="29">
        <f t="shared" si="11"/>
        <v>3259.3599999999997</v>
      </c>
      <c r="D33" s="29">
        <f t="shared" si="11"/>
        <v>3622.3599999999997</v>
      </c>
      <c r="E33" s="29">
        <f t="shared" si="11"/>
        <v>4691.5599999999995</v>
      </c>
      <c r="F33" s="29">
        <f t="shared" si="11"/>
        <v>4691.5599999999995</v>
      </c>
      <c r="G33" s="29">
        <f t="shared" si="11"/>
        <v>3622.3599999999997</v>
      </c>
      <c r="H33" s="29">
        <f t="shared" si="11"/>
        <v>3259.3599999999997</v>
      </c>
      <c r="I33" s="29">
        <f t="shared" si="11"/>
        <v>2434.3599999999997</v>
      </c>
      <c r="J33" s="29">
        <f t="shared" si="11"/>
        <v>2790.76</v>
      </c>
      <c r="K33" s="29">
        <f t="shared" si="11"/>
        <v>2440.96</v>
      </c>
      <c r="L33" s="29">
        <f t="shared" si="11"/>
        <v>2421.16</v>
      </c>
      <c r="M33" s="29">
        <f t="shared" si="11"/>
        <v>4043.26</v>
      </c>
      <c r="N33" s="33">
        <f t="shared" si="11"/>
        <v>41493.42</v>
      </c>
      <c r="O33" s="13"/>
    </row>
    <row r="34" spans="1:15" x14ac:dyDescent="0.25">
      <c r="A34" s="1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12"/>
      <c r="O34" s="10"/>
    </row>
    <row r="35" spans="1:15" x14ac:dyDescent="0.25">
      <c r="A35" s="7" t="s">
        <v>118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s="7" t="s">
        <v>117</v>
      </c>
      <c r="B36" s="7" t="s">
        <v>4</v>
      </c>
      <c r="C36" s="7" t="s">
        <v>5</v>
      </c>
      <c r="D36" s="7" t="s">
        <v>6</v>
      </c>
      <c r="E36" s="7" t="s">
        <v>7</v>
      </c>
      <c r="F36" s="7" t="s">
        <v>8</v>
      </c>
      <c r="G36" s="7" t="s">
        <v>9</v>
      </c>
      <c r="H36" s="7" t="s">
        <v>10</v>
      </c>
      <c r="I36" s="7" t="s">
        <v>11</v>
      </c>
      <c r="J36" s="7" t="s">
        <v>12</v>
      </c>
      <c r="K36" s="7" t="s">
        <v>13</v>
      </c>
      <c r="L36" s="7" t="s">
        <v>14</v>
      </c>
      <c r="M36" s="7" t="s">
        <v>15</v>
      </c>
      <c r="N36" s="7" t="s">
        <v>3</v>
      </c>
      <c r="O36" s="8"/>
    </row>
    <row r="37" spans="1:15" x14ac:dyDescent="0.25">
      <c r="A37" s="7" t="s">
        <v>19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3"/>
      <c r="O37" s="8"/>
    </row>
    <row r="38" spans="1:15" x14ac:dyDescent="0.25">
      <c r="A38" s="8" t="s">
        <v>119</v>
      </c>
      <c r="B38" s="29">
        <f>SUM((30*20)*35)</f>
        <v>21000</v>
      </c>
      <c r="C38" s="29">
        <f>SUM((31*10)*35)</f>
        <v>10850</v>
      </c>
      <c r="D38" s="29">
        <f>SUM((30*14)*35)</f>
        <v>14700</v>
      </c>
      <c r="E38" s="29">
        <f>SUM((31*24)*35)</f>
        <v>26040</v>
      </c>
      <c r="F38" s="29">
        <f>SUM((31*24)*35)</f>
        <v>26040</v>
      </c>
      <c r="G38" s="29">
        <f>SUM((30*14)*35)</f>
        <v>14700</v>
      </c>
      <c r="H38" s="29">
        <f>SUM((31*10)*35)</f>
        <v>10850</v>
      </c>
      <c r="I38" s="29">
        <f>SUM((30*2)*35)</f>
        <v>2100</v>
      </c>
      <c r="J38" s="29">
        <f>SUM((7*24)*35)</f>
        <v>5880</v>
      </c>
      <c r="K38" s="29">
        <f>SUM((31*2)*35)</f>
        <v>2170</v>
      </c>
      <c r="L38" s="29">
        <f>SUM((28*2)*35)</f>
        <v>1960</v>
      </c>
      <c r="M38" s="29">
        <f>SUM((31*3)*35)</f>
        <v>3255</v>
      </c>
      <c r="N38" s="33">
        <f>SUM(B38:M38)</f>
        <v>139545</v>
      </c>
      <c r="O38" s="8"/>
    </row>
    <row r="39" spans="1:15" x14ac:dyDescent="0.25">
      <c r="A39" s="8"/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33">
        <f>SUM(B39:M39)</f>
        <v>0</v>
      </c>
      <c r="O39" s="13"/>
    </row>
    <row r="40" spans="1:15" x14ac:dyDescent="0.25">
      <c r="A40" s="7" t="s">
        <v>22</v>
      </c>
      <c r="B40" s="29">
        <f t="shared" ref="B40" si="12">SUM(B38:B39)</f>
        <v>21000</v>
      </c>
      <c r="C40" s="29">
        <f t="shared" ref="C40" si="13">SUM(C38:C39)</f>
        <v>10850</v>
      </c>
      <c r="D40" s="29">
        <f t="shared" ref="D40" si="14">SUM(D38:D39)</f>
        <v>14700</v>
      </c>
      <c r="E40" s="29">
        <f t="shared" ref="E40" si="15">SUM(E38:E39)</f>
        <v>26040</v>
      </c>
      <c r="F40" s="29">
        <f t="shared" ref="F40" si="16">SUM(F38:F39)</f>
        <v>26040</v>
      </c>
      <c r="G40" s="29">
        <f t="shared" ref="G40" si="17">SUM(G38:G39)</f>
        <v>14700</v>
      </c>
      <c r="H40" s="29">
        <f t="shared" ref="H40" si="18">SUM(H38:H39)</f>
        <v>10850</v>
      </c>
      <c r="I40" s="29">
        <f t="shared" ref="I40" si="19">SUM(I38:I39)</f>
        <v>2100</v>
      </c>
      <c r="J40" s="29">
        <f t="shared" ref="J40" si="20">SUM(J38:J39)</f>
        <v>5880</v>
      </c>
      <c r="K40" s="29">
        <f t="shared" ref="K40" si="21">SUM(K38:K39)</f>
        <v>2170</v>
      </c>
      <c r="L40" s="29">
        <f t="shared" ref="L40" si="22">SUM(L38:L39)</f>
        <v>1960</v>
      </c>
      <c r="M40" s="29">
        <f t="shared" ref="M40" si="23">SUM(M38:M39)</f>
        <v>3255</v>
      </c>
      <c r="N40" s="33">
        <f t="shared" ref="N40" si="24">SUM(N38:N39)</f>
        <v>139545</v>
      </c>
      <c r="O40" s="13"/>
    </row>
    <row r="41" spans="1:15" x14ac:dyDescent="0.25">
      <c r="A41" s="7" t="s">
        <v>1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3"/>
      <c r="O41" s="13"/>
    </row>
    <row r="42" spans="1:15" x14ac:dyDescent="0.25">
      <c r="A42" s="8" t="s">
        <v>120</v>
      </c>
      <c r="B42" s="29">
        <f>SUM(150/100*110)</f>
        <v>165</v>
      </c>
      <c r="C42" s="29">
        <f t="shared" ref="C42:M42" si="25">SUM(150/100*110)</f>
        <v>165</v>
      </c>
      <c r="D42" s="29">
        <f t="shared" si="25"/>
        <v>165</v>
      </c>
      <c r="E42" s="29">
        <f t="shared" si="25"/>
        <v>165</v>
      </c>
      <c r="F42" s="29">
        <f t="shared" si="25"/>
        <v>165</v>
      </c>
      <c r="G42" s="29">
        <f t="shared" si="25"/>
        <v>165</v>
      </c>
      <c r="H42" s="29">
        <f t="shared" si="25"/>
        <v>165</v>
      </c>
      <c r="I42" s="29">
        <f t="shared" si="25"/>
        <v>165</v>
      </c>
      <c r="J42" s="29">
        <f t="shared" si="25"/>
        <v>165</v>
      </c>
      <c r="K42" s="29">
        <f t="shared" si="25"/>
        <v>165</v>
      </c>
      <c r="L42" s="29">
        <f t="shared" si="25"/>
        <v>165</v>
      </c>
      <c r="M42" s="29">
        <f t="shared" si="25"/>
        <v>165</v>
      </c>
      <c r="N42" s="33">
        <f>SUM(B42:M42)</f>
        <v>1980</v>
      </c>
      <c r="O42" s="13"/>
    </row>
    <row r="43" spans="1:15" x14ac:dyDescent="0.25">
      <c r="A43" s="15" t="s">
        <v>121</v>
      </c>
      <c r="B43" s="29">
        <f>SUM(B42/3)</f>
        <v>55</v>
      </c>
      <c r="C43" s="29">
        <f t="shared" ref="C43:M43" si="26">SUM(C42/3)</f>
        <v>55</v>
      </c>
      <c r="D43" s="29">
        <f t="shared" si="26"/>
        <v>55</v>
      </c>
      <c r="E43" s="29">
        <f t="shared" si="26"/>
        <v>55</v>
      </c>
      <c r="F43" s="29">
        <f t="shared" si="26"/>
        <v>55</v>
      </c>
      <c r="G43" s="29">
        <f t="shared" si="26"/>
        <v>55</v>
      </c>
      <c r="H43" s="29">
        <f t="shared" si="26"/>
        <v>55</v>
      </c>
      <c r="I43" s="29">
        <f t="shared" si="26"/>
        <v>55</v>
      </c>
      <c r="J43" s="29">
        <f t="shared" si="26"/>
        <v>55</v>
      </c>
      <c r="K43" s="29">
        <f t="shared" si="26"/>
        <v>55</v>
      </c>
      <c r="L43" s="29">
        <f t="shared" si="26"/>
        <v>55</v>
      </c>
      <c r="M43" s="29">
        <f t="shared" si="26"/>
        <v>55</v>
      </c>
      <c r="N43" s="33">
        <f t="shared" ref="N43:N44" si="27">SUM(B43:M43)</f>
        <v>660</v>
      </c>
      <c r="O43" s="13"/>
    </row>
    <row r="44" spans="1:15" x14ac:dyDescent="0.25">
      <c r="A44" s="15" t="s">
        <v>122</v>
      </c>
      <c r="B44" s="29">
        <f t="shared" ref="B44:D44" si="28">SUM(B38/10)</f>
        <v>2100</v>
      </c>
      <c r="C44" s="29">
        <f t="shared" si="28"/>
        <v>1085</v>
      </c>
      <c r="D44" s="29">
        <f t="shared" si="28"/>
        <v>1470</v>
      </c>
      <c r="E44" s="29">
        <f>SUM(E38/10)</f>
        <v>2604</v>
      </c>
      <c r="F44" s="29">
        <f t="shared" ref="F44:M44" si="29">SUM(F38/10)</f>
        <v>2604</v>
      </c>
      <c r="G44" s="29">
        <f t="shared" si="29"/>
        <v>1470</v>
      </c>
      <c r="H44" s="29">
        <f t="shared" si="29"/>
        <v>1085</v>
      </c>
      <c r="I44" s="29">
        <f t="shared" si="29"/>
        <v>210</v>
      </c>
      <c r="J44" s="29">
        <f t="shared" si="29"/>
        <v>588</v>
      </c>
      <c r="K44" s="29">
        <f t="shared" si="29"/>
        <v>217</v>
      </c>
      <c r="L44" s="29">
        <f t="shared" si="29"/>
        <v>196</v>
      </c>
      <c r="M44" s="29">
        <f t="shared" si="29"/>
        <v>325.5</v>
      </c>
      <c r="N44" s="33">
        <f t="shared" si="27"/>
        <v>13954.5</v>
      </c>
      <c r="O44" s="13"/>
    </row>
    <row r="45" spans="1:15" s="5" customFormat="1" x14ac:dyDescent="0.25">
      <c r="A45" s="15" t="s">
        <v>141</v>
      </c>
      <c r="B45" s="29">
        <v>1050</v>
      </c>
      <c r="C45" s="29">
        <v>1050</v>
      </c>
      <c r="D45" s="29">
        <v>1050</v>
      </c>
      <c r="E45" s="29">
        <v>1050</v>
      </c>
      <c r="F45" s="29">
        <v>1050</v>
      </c>
      <c r="G45" s="29">
        <v>1050</v>
      </c>
      <c r="H45" s="29">
        <v>1050</v>
      </c>
      <c r="I45" s="29">
        <v>1050</v>
      </c>
      <c r="J45" s="29">
        <v>1050</v>
      </c>
      <c r="K45" s="29">
        <v>1050</v>
      </c>
      <c r="L45" s="29">
        <v>1050</v>
      </c>
      <c r="M45" s="29">
        <v>1050</v>
      </c>
      <c r="N45" s="33">
        <f t="shared" ref="N45:N48" si="30">SUM(B45:M45)</f>
        <v>12600</v>
      </c>
      <c r="O45" s="13"/>
    </row>
    <row r="46" spans="1:15" s="5" customFormat="1" x14ac:dyDescent="0.25">
      <c r="A46" s="15" t="s">
        <v>66</v>
      </c>
      <c r="B46" s="29">
        <v>105</v>
      </c>
      <c r="C46" s="29">
        <v>105</v>
      </c>
      <c r="D46" s="29">
        <v>105</v>
      </c>
      <c r="E46" s="29">
        <v>105</v>
      </c>
      <c r="F46" s="29">
        <v>105</v>
      </c>
      <c r="G46" s="29">
        <v>105</v>
      </c>
      <c r="H46" s="29">
        <v>105</v>
      </c>
      <c r="I46" s="29">
        <v>105</v>
      </c>
      <c r="J46" s="29">
        <v>105</v>
      </c>
      <c r="K46" s="29">
        <v>105</v>
      </c>
      <c r="L46" s="29">
        <v>105</v>
      </c>
      <c r="M46" s="29">
        <v>105</v>
      </c>
      <c r="N46" s="33">
        <f t="shared" si="30"/>
        <v>1260</v>
      </c>
      <c r="O46" s="13"/>
    </row>
    <row r="47" spans="1:15" s="5" customFormat="1" x14ac:dyDescent="0.25">
      <c r="A47" s="15" t="s">
        <v>142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1500</v>
      </c>
      <c r="N47" s="33">
        <f t="shared" si="30"/>
        <v>1500</v>
      </c>
      <c r="O47" s="13"/>
    </row>
    <row r="48" spans="1:15" s="5" customFormat="1" x14ac:dyDescent="0.25">
      <c r="A48" s="15" t="s">
        <v>143</v>
      </c>
      <c r="B48" s="29">
        <v>120</v>
      </c>
      <c r="C48" s="29">
        <v>120</v>
      </c>
      <c r="D48" s="29">
        <v>120</v>
      </c>
      <c r="E48" s="29">
        <v>120</v>
      </c>
      <c r="F48" s="29">
        <v>120</v>
      </c>
      <c r="G48" s="29">
        <v>120</v>
      </c>
      <c r="H48" s="29">
        <v>120</v>
      </c>
      <c r="I48" s="29">
        <v>120</v>
      </c>
      <c r="J48" s="29">
        <v>120</v>
      </c>
      <c r="K48" s="29">
        <v>120</v>
      </c>
      <c r="L48" s="29">
        <v>120</v>
      </c>
      <c r="M48" s="29">
        <v>120</v>
      </c>
      <c r="N48" s="33">
        <f t="shared" si="30"/>
        <v>1440</v>
      </c>
      <c r="O48" s="13"/>
    </row>
    <row r="49" spans="1:15" x14ac:dyDescent="0.25">
      <c r="A49" s="15" t="s">
        <v>169</v>
      </c>
      <c r="B49" s="29">
        <f>SUM(836/100*103)</f>
        <v>861.07999999999993</v>
      </c>
      <c r="C49" s="29">
        <f t="shared" ref="C49:M49" si="31">SUM(836/100*103)</f>
        <v>861.07999999999993</v>
      </c>
      <c r="D49" s="29">
        <f t="shared" si="31"/>
        <v>861.07999999999993</v>
      </c>
      <c r="E49" s="29">
        <f t="shared" si="31"/>
        <v>861.07999999999993</v>
      </c>
      <c r="F49" s="29">
        <f t="shared" si="31"/>
        <v>861.07999999999993</v>
      </c>
      <c r="G49" s="29">
        <f t="shared" si="31"/>
        <v>861.07999999999993</v>
      </c>
      <c r="H49" s="29">
        <f t="shared" si="31"/>
        <v>861.07999999999993</v>
      </c>
      <c r="I49" s="29">
        <f t="shared" si="31"/>
        <v>861.07999999999993</v>
      </c>
      <c r="J49" s="29">
        <f t="shared" si="31"/>
        <v>861.07999999999993</v>
      </c>
      <c r="K49" s="29">
        <f t="shared" si="31"/>
        <v>861.07999999999993</v>
      </c>
      <c r="L49" s="29">
        <f t="shared" si="31"/>
        <v>861.07999999999993</v>
      </c>
      <c r="M49" s="29">
        <f t="shared" si="31"/>
        <v>861.07999999999993</v>
      </c>
      <c r="N49" s="33">
        <f t="shared" ref="N49" si="32">SUM(B49:M49)</f>
        <v>10332.959999999999</v>
      </c>
      <c r="O49" s="13"/>
    </row>
    <row r="50" spans="1:15" x14ac:dyDescent="0.25">
      <c r="A50" s="7" t="s">
        <v>24</v>
      </c>
      <c r="B50" s="29">
        <f t="shared" ref="B50" si="33">SUM(B42:B49)</f>
        <v>4456.08</v>
      </c>
      <c r="C50" s="29">
        <f t="shared" ref="C50" si="34">SUM(C42:C49)</f>
        <v>3441.08</v>
      </c>
      <c r="D50" s="29">
        <f t="shared" ref="D50" si="35">SUM(D42:D49)</f>
        <v>3826.08</v>
      </c>
      <c r="E50" s="29">
        <f t="shared" ref="E50" si="36">SUM(E42:E49)</f>
        <v>4960.08</v>
      </c>
      <c r="F50" s="29">
        <f t="shared" ref="F50" si="37">SUM(F42:F49)</f>
        <v>4960.08</v>
      </c>
      <c r="G50" s="29">
        <f t="shared" ref="G50" si="38">SUM(G42:G49)</f>
        <v>3826.08</v>
      </c>
      <c r="H50" s="29">
        <f t="shared" ref="H50" si="39">SUM(H42:H49)</f>
        <v>3441.08</v>
      </c>
      <c r="I50" s="29">
        <f t="shared" ref="I50" si="40">SUM(I42:I49)</f>
        <v>2566.08</v>
      </c>
      <c r="J50" s="29">
        <f t="shared" ref="J50" si="41">SUM(J42:J49)</f>
        <v>2944.08</v>
      </c>
      <c r="K50" s="29">
        <f t="shared" ref="K50" si="42">SUM(K42:K49)</f>
        <v>2573.08</v>
      </c>
      <c r="L50" s="29">
        <f t="shared" ref="L50" si="43">SUM(L42:L49)</f>
        <v>2552.08</v>
      </c>
      <c r="M50" s="29">
        <f t="shared" ref="M50" si="44">SUM(M42:M49)</f>
        <v>4181.58</v>
      </c>
      <c r="N50" s="33">
        <f t="shared" ref="N50" si="45">SUM(N42:N49)</f>
        <v>43727.46</v>
      </c>
      <c r="O50" s="13"/>
    </row>
    <row r="51" spans="1:15" x14ac:dyDescent="0.25">
      <c r="A51" s="1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12"/>
      <c r="O51" s="10"/>
    </row>
    <row r="52" spans="1:15" x14ac:dyDescent="0.25">
      <c r="A52" s="7" t="s">
        <v>118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x14ac:dyDescent="0.25">
      <c r="A53" s="7" t="s">
        <v>155</v>
      </c>
      <c r="B53" s="7" t="s">
        <v>4</v>
      </c>
      <c r="C53" s="7" t="s">
        <v>5</v>
      </c>
      <c r="D53" s="7" t="s">
        <v>6</v>
      </c>
      <c r="E53" s="7" t="s">
        <v>7</v>
      </c>
      <c r="F53" s="7" t="s">
        <v>8</v>
      </c>
      <c r="G53" s="7" t="s">
        <v>9</v>
      </c>
      <c r="H53" s="7" t="s">
        <v>10</v>
      </c>
      <c r="I53" s="7" t="s">
        <v>11</v>
      </c>
      <c r="J53" s="7" t="s">
        <v>12</v>
      </c>
      <c r="K53" s="7" t="s">
        <v>13</v>
      </c>
      <c r="L53" s="7" t="s">
        <v>14</v>
      </c>
      <c r="M53" s="7" t="s">
        <v>15</v>
      </c>
      <c r="N53" s="7" t="s">
        <v>3</v>
      </c>
      <c r="O53" s="8"/>
    </row>
    <row r="54" spans="1:15" x14ac:dyDescent="0.25">
      <c r="A54" s="7" t="s">
        <v>19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3"/>
      <c r="O54" s="8"/>
    </row>
    <row r="55" spans="1:15" x14ac:dyDescent="0.25">
      <c r="A55" s="8" t="s">
        <v>119</v>
      </c>
      <c r="B55" s="29">
        <f>SUM((30*20)*37.5)</f>
        <v>22500</v>
      </c>
      <c r="C55" s="29">
        <f>SUM((31*10)*37.5)</f>
        <v>11625</v>
      </c>
      <c r="D55" s="29">
        <f>SUM((30*14)*37.5)</f>
        <v>15750</v>
      </c>
      <c r="E55" s="29">
        <f>SUM((31*24)*37.5)</f>
        <v>27900</v>
      </c>
      <c r="F55" s="29">
        <f>SUM((31*24)*37.5)</f>
        <v>27900</v>
      </c>
      <c r="G55" s="29">
        <f>SUM((30*14)*37.5)</f>
        <v>15750</v>
      </c>
      <c r="H55" s="29">
        <f>SUM((31*10)*37.5)</f>
        <v>11625</v>
      </c>
      <c r="I55" s="29">
        <f>SUM((30*2)*37.5)</f>
        <v>2250</v>
      </c>
      <c r="J55" s="29">
        <f>SUM((7*24)*37.5)</f>
        <v>6300</v>
      </c>
      <c r="K55" s="29">
        <f>SUM((31*2)*37.5)</f>
        <v>2325</v>
      </c>
      <c r="L55" s="29">
        <f>SUM((28*2)*37.5)</f>
        <v>2100</v>
      </c>
      <c r="M55" s="29">
        <f>SUM((31*3)*37.5)</f>
        <v>3487.5</v>
      </c>
      <c r="N55" s="33">
        <f>SUM(B55:M55)</f>
        <v>149512.5</v>
      </c>
      <c r="O55" s="8"/>
    </row>
    <row r="56" spans="1:15" x14ac:dyDescent="0.25">
      <c r="A56" s="8"/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33">
        <f>SUM(B56:M56)</f>
        <v>0</v>
      </c>
      <c r="O56" s="13"/>
    </row>
    <row r="57" spans="1:15" x14ac:dyDescent="0.25">
      <c r="A57" s="7" t="s">
        <v>22</v>
      </c>
      <c r="B57" s="29">
        <f t="shared" ref="B57" si="46">SUM(B55:B56)</f>
        <v>22500</v>
      </c>
      <c r="C57" s="29">
        <f t="shared" ref="C57" si="47">SUM(C55:C56)</f>
        <v>11625</v>
      </c>
      <c r="D57" s="29">
        <f t="shared" ref="D57" si="48">SUM(D55:D56)</f>
        <v>15750</v>
      </c>
      <c r="E57" s="29">
        <f t="shared" ref="E57" si="49">SUM(E55:E56)</f>
        <v>27900</v>
      </c>
      <c r="F57" s="29">
        <f t="shared" ref="F57" si="50">SUM(F55:F56)</f>
        <v>27900</v>
      </c>
      <c r="G57" s="29">
        <f t="shared" ref="G57" si="51">SUM(G55:G56)</f>
        <v>15750</v>
      </c>
      <c r="H57" s="29">
        <f t="shared" ref="H57" si="52">SUM(H55:H56)</f>
        <v>11625</v>
      </c>
      <c r="I57" s="29">
        <f t="shared" ref="I57" si="53">SUM(I55:I56)</f>
        <v>2250</v>
      </c>
      <c r="J57" s="29">
        <f t="shared" ref="J57" si="54">SUM(J55:J56)</f>
        <v>6300</v>
      </c>
      <c r="K57" s="29">
        <f t="shared" ref="K57" si="55">SUM(K55:K56)</f>
        <v>2325</v>
      </c>
      <c r="L57" s="29">
        <f t="shared" ref="L57" si="56">SUM(L55:L56)</f>
        <v>2100</v>
      </c>
      <c r="M57" s="29">
        <f t="shared" ref="M57" si="57">SUM(M55:M56)</f>
        <v>3487.5</v>
      </c>
      <c r="N57" s="33">
        <f t="shared" ref="N57" si="58">SUM(N55:N56)</f>
        <v>149512.5</v>
      </c>
      <c r="O57" s="13"/>
    </row>
    <row r="58" spans="1:15" x14ac:dyDescent="0.25">
      <c r="A58" s="7" t="s">
        <v>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33"/>
      <c r="O58" s="13"/>
    </row>
    <row r="59" spans="1:15" x14ac:dyDescent="0.25">
      <c r="A59" s="8" t="s">
        <v>120</v>
      </c>
      <c r="B59" s="29">
        <f>SUM(150/100*110)/100*103</f>
        <v>169.95</v>
      </c>
      <c r="C59" s="29">
        <f t="shared" ref="C59:M59" si="59">SUM(150/100*110)/100*103</f>
        <v>169.95</v>
      </c>
      <c r="D59" s="29">
        <f t="shared" si="59"/>
        <v>169.95</v>
      </c>
      <c r="E59" s="29">
        <f t="shared" si="59"/>
        <v>169.95</v>
      </c>
      <c r="F59" s="29">
        <f t="shared" si="59"/>
        <v>169.95</v>
      </c>
      <c r="G59" s="29">
        <f t="shared" si="59"/>
        <v>169.95</v>
      </c>
      <c r="H59" s="29">
        <f t="shared" si="59"/>
        <v>169.95</v>
      </c>
      <c r="I59" s="29">
        <f t="shared" si="59"/>
        <v>169.95</v>
      </c>
      <c r="J59" s="29">
        <f t="shared" si="59"/>
        <v>169.95</v>
      </c>
      <c r="K59" s="29">
        <f t="shared" si="59"/>
        <v>169.95</v>
      </c>
      <c r="L59" s="29">
        <f t="shared" si="59"/>
        <v>169.95</v>
      </c>
      <c r="M59" s="29">
        <f t="shared" si="59"/>
        <v>169.95</v>
      </c>
      <c r="N59" s="33">
        <f>SUM(B59:M59)</f>
        <v>2039.4000000000003</v>
      </c>
      <c r="O59" s="13"/>
    </row>
    <row r="60" spans="1:15" x14ac:dyDescent="0.25">
      <c r="A60" s="15" t="s">
        <v>121</v>
      </c>
      <c r="B60" s="29">
        <f>SUM(B59/3)</f>
        <v>56.65</v>
      </c>
      <c r="C60" s="29">
        <f t="shared" ref="C60" si="60">SUM(C59/3)</f>
        <v>56.65</v>
      </c>
      <c r="D60" s="29">
        <f t="shared" ref="D60" si="61">SUM(D59/3)</f>
        <v>56.65</v>
      </c>
      <c r="E60" s="29">
        <f t="shared" ref="E60" si="62">SUM(E59/3)</f>
        <v>56.65</v>
      </c>
      <c r="F60" s="29">
        <f t="shared" ref="F60" si="63">SUM(F59/3)</f>
        <v>56.65</v>
      </c>
      <c r="G60" s="29">
        <f t="shared" ref="G60" si="64">SUM(G59/3)</f>
        <v>56.65</v>
      </c>
      <c r="H60" s="29">
        <f t="shared" ref="H60" si="65">SUM(H59/3)</f>
        <v>56.65</v>
      </c>
      <c r="I60" s="29">
        <f t="shared" ref="I60" si="66">SUM(I59/3)</f>
        <v>56.65</v>
      </c>
      <c r="J60" s="29">
        <f t="shared" ref="J60" si="67">SUM(J59/3)</f>
        <v>56.65</v>
      </c>
      <c r="K60" s="29">
        <f t="shared" ref="K60" si="68">SUM(K59/3)</f>
        <v>56.65</v>
      </c>
      <c r="L60" s="29">
        <f t="shared" ref="L60" si="69">SUM(L59/3)</f>
        <v>56.65</v>
      </c>
      <c r="M60" s="29">
        <f t="shared" ref="M60" si="70">SUM(M59/3)</f>
        <v>56.65</v>
      </c>
      <c r="N60" s="33">
        <f t="shared" ref="N60:N66" si="71">SUM(B60:M60)</f>
        <v>679.79999999999984</v>
      </c>
      <c r="O60" s="13"/>
    </row>
    <row r="61" spans="1:15" x14ac:dyDescent="0.25">
      <c r="A61" s="15" t="s">
        <v>122</v>
      </c>
      <c r="B61" s="29">
        <f t="shared" ref="B61:D61" si="72">SUM(B55/10)</f>
        <v>2250</v>
      </c>
      <c r="C61" s="29">
        <f t="shared" si="72"/>
        <v>1162.5</v>
      </c>
      <c r="D61" s="29">
        <f t="shared" si="72"/>
        <v>1575</v>
      </c>
      <c r="E61" s="29">
        <f>SUM(E55/10)</f>
        <v>2790</v>
      </c>
      <c r="F61" s="29">
        <f t="shared" ref="F61:M61" si="73">SUM(F55/10)</f>
        <v>2790</v>
      </c>
      <c r="G61" s="29">
        <f t="shared" si="73"/>
        <v>1575</v>
      </c>
      <c r="H61" s="29">
        <f t="shared" si="73"/>
        <v>1162.5</v>
      </c>
      <c r="I61" s="29">
        <f t="shared" si="73"/>
        <v>225</v>
      </c>
      <c r="J61" s="29">
        <f t="shared" si="73"/>
        <v>630</v>
      </c>
      <c r="K61" s="29">
        <f t="shared" si="73"/>
        <v>232.5</v>
      </c>
      <c r="L61" s="29">
        <f t="shared" si="73"/>
        <v>210</v>
      </c>
      <c r="M61" s="29">
        <f t="shared" si="73"/>
        <v>348.75</v>
      </c>
      <c r="N61" s="33">
        <f t="shared" si="71"/>
        <v>14951.25</v>
      </c>
      <c r="O61" s="13"/>
    </row>
    <row r="62" spans="1:15" s="5" customFormat="1" x14ac:dyDescent="0.25">
      <c r="A62" s="15" t="s">
        <v>141</v>
      </c>
      <c r="B62" s="29">
        <v>1100</v>
      </c>
      <c r="C62" s="29">
        <v>1100</v>
      </c>
      <c r="D62" s="29">
        <v>1100</v>
      </c>
      <c r="E62" s="29">
        <v>1100</v>
      </c>
      <c r="F62" s="29">
        <v>1100</v>
      </c>
      <c r="G62" s="29">
        <v>1100</v>
      </c>
      <c r="H62" s="29">
        <v>1100</v>
      </c>
      <c r="I62" s="29">
        <v>1100</v>
      </c>
      <c r="J62" s="29">
        <v>1100</v>
      </c>
      <c r="K62" s="29">
        <v>1100</v>
      </c>
      <c r="L62" s="29">
        <v>1100</v>
      </c>
      <c r="M62" s="29">
        <v>1100</v>
      </c>
      <c r="N62" s="33">
        <f t="shared" si="71"/>
        <v>13200</v>
      </c>
      <c r="O62" s="13"/>
    </row>
    <row r="63" spans="1:15" s="5" customFormat="1" x14ac:dyDescent="0.25">
      <c r="A63" s="15" t="s">
        <v>66</v>
      </c>
      <c r="B63" s="29">
        <f>SUM(B60*2)</f>
        <v>113.3</v>
      </c>
      <c r="C63" s="29">
        <f t="shared" ref="C63:M63" si="74">SUM(C60*2)</f>
        <v>113.3</v>
      </c>
      <c r="D63" s="29">
        <f t="shared" si="74"/>
        <v>113.3</v>
      </c>
      <c r="E63" s="29">
        <f t="shared" si="74"/>
        <v>113.3</v>
      </c>
      <c r="F63" s="29">
        <f t="shared" si="74"/>
        <v>113.3</v>
      </c>
      <c r="G63" s="29">
        <f t="shared" si="74"/>
        <v>113.3</v>
      </c>
      <c r="H63" s="29">
        <f t="shared" si="74"/>
        <v>113.3</v>
      </c>
      <c r="I63" s="29">
        <f t="shared" si="74"/>
        <v>113.3</v>
      </c>
      <c r="J63" s="29">
        <f t="shared" si="74"/>
        <v>113.3</v>
      </c>
      <c r="K63" s="29">
        <f t="shared" si="74"/>
        <v>113.3</v>
      </c>
      <c r="L63" s="29">
        <f t="shared" si="74"/>
        <v>113.3</v>
      </c>
      <c r="M63" s="29">
        <f t="shared" si="74"/>
        <v>113.3</v>
      </c>
      <c r="N63" s="33">
        <f t="shared" si="71"/>
        <v>1359.5999999999997</v>
      </c>
      <c r="O63" s="13"/>
    </row>
    <row r="64" spans="1:15" s="5" customFormat="1" x14ac:dyDescent="0.25">
      <c r="A64" s="15" t="s">
        <v>142</v>
      </c>
      <c r="B64" s="29">
        <v>0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1750</v>
      </c>
      <c r="N64" s="33">
        <f t="shared" si="71"/>
        <v>1750</v>
      </c>
      <c r="O64" s="13"/>
    </row>
    <row r="65" spans="1:15" s="5" customFormat="1" x14ac:dyDescent="0.25">
      <c r="A65" s="15" t="s">
        <v>143</v>
      </c>
      <c r="B65" s="29">
        <v>135</v>
      </c>
      <c r="C65" s="29">
        <v>135</v>
      </c>
      <c r="D65" s="29">
        <v>135</v>
      </c>
      <c r="E65" s="29">
        <v>135</v>
      </c>
      <c r="F65" s="29">
        <v>135</v>
      </c>
      <c r="G65" s="29">
        <v>135</v>
      </c>
      <c r="H65" s="29">
        <v>135</v>
      </c>
      <c r="I65" s="29">
        <v>135</v>
      </c>
      <c r="J65" s="29">
        <v>135</v>
      </c>
      <c r="K65" s="29">
        <v>135</v>
      </c>
      <c r="L65" s="29">
        <v>135</v>
      </c>
      <c r="M65" s="29">
        <v>135</v>
      </c>
      <c r="N65" s="33">
        <f t="shared" si="71"/>
        <v>1620</v>
      </c>
      <c r="O65" s="13"/>
    </row>
    <row r="66" spans="1:15" x14ac:dyDescent="0.25">
      <c r="A66" s="15" t="s">
        <v>169</v>
      </c>
      <c r="B66" s="29">
        <f>SUM(861/100*103)</f>
        <v>886.82999999999993</v>
      </c>
      <c r="C66" s="29">
        <f t="shared" ref="C66:M66" si="75">SUM(861/100*103)</f>
        <v>886.82999999999993</v>
      </c>
      <c r="D66" s="29">
        <f t="shared" si="75"/>
        <v>886.82999999999993</v>
      </c>
      <c r="E66" s="29">
        <f t="shared" si="75"/>
        <v>886.82999999999993</v>
      </c>
      <c r="F66" s="29">
        <f t="shared" si="75"/>
        <v>886.82999999999993</v>
      </c>
      <c r="G66" s="29">
        <f t="shared" si="75"/>
        <v>886.82999999999993</v>
      </c>
      <c r="H66" s="29">
        <f t="shared" si="75"/>
        <v>886.82999999999993</v>
      </c>
      <c r="I66" s="29">
        <f t="shared" si="75"/>
        <v>886.82999999999993</v>
      </c>
      <c r="J66" s="29">
        <f t="shared" si="75"/>
        <v>886.82999999999993</v>
      </c>
      <c r="K66" s="29">
        <f t="shared" si="75"/>
        <v>886.82999999999993</v>
      </c>
      <c r="L66" s="29">
        <f t="shared" si="75"/>
        <v>886.82999999999993</v>
      </c>
      <c r="M66" s="29">
        <f t="shared" si="75"/>
        <v>886.82999999999993</v>
      </c>
      <c r="N66" s="33">
        <f t="shared" si="71"/>
        <v>10641.96</v>
      </c>
      <c r="O66" s="13"/>
    </row>
    <row r="67" spans="1:15" x14ac:dyDescent="0.25">
      <c r="A67" s="7" t="s">
        <v>24</v>
      </c>
      <c r="B67" s="29">
        <f t="shared" ref="B67" si="76">SUM(B59:B66)</f>
        <v>4711.7299999999996</v>
      </c>
      <c r="C67" s="29">
        <f t="shared" ref="C67" si="77">SUM(C59:C66)</f>
        <v>3624.23</v>
      </c>
      <c r="D67" s="29">
        <f t="shared" ref="D67" si="78">SUM(D59:D66)</f>
        <v>4036.73</v>
      </c>
      <c r="E67" s="29">
        <f t="shared" ref="E67" si="79">SUM(E59:E66)</f>
        <v>5251.7300000000005</v>
      </c>
      <c r="F67" s="29">
        <f t="shared" ref="F67" si="80">SUM(F59:F66)</f>
        <v>5251.7300000000005</v>
      </c>
      <c r="G67" s="29">
        <f t="shared" ref="G67" si="81">SUM(G59:G66)</f>
        <v>4036.73</v>
      </c>
      <c r="H67" s="29">
        <f t="shared" ref="H67" si="82">SUM(H59:H66)</f>
        <v>3624.23</v>
      </c>
      <c r="I67" s="29">
        <f t="shared" ref="I67" si="83">SUM(I59:I66)</f>
        <v>2686.7299999999996</v>
      </c>
      <c r="J67" s="29">
        <f t="shared" ref="J67" si="84">SUM(J59:J66)</f>
        <v>3091.73</v>
      </c>
      <c r="K67" s="29">
        <f t="shared" ref="K67" si="85">SUM(K59:K66)</f>
        <v>2694.2299999999996</v>
      </c>
      <c r="L67" s="29">
        <f t="shared" ref="L67" si="86">SUM(L59:L66)</f>
        <v>2671.7299999999996</v>
      </c>
      <c r="M67" s="29">
        <f t="shared" ref="M67" si="87">SUM(M59:M66)</f>
        <v>4560.4799999999996</v>
      </c>
      <c r="N67" s="33">
        <f t="shared" ref="N67" si="88">SUM(N59:N66)</f>
        <v>46242.01</v>
      </c>
      <c r="O67" s="13"/>
    </row>
    <row r="68" spans="1:15" x14ac:dyDescent="0.25">
      <c r="A68" s="11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12"/>
      <c r="O68" s="10"/>
    </row>
    <row r="69" spans="1:15" x14ac:dyDescent="0.25">
      <c r="A69" s="7" t="s">
        <v>118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x14ac:dyDescent="0.25">
      <c r="A70" s="7" t="s">
        <v>194</v>
      </c>
      <c r="B70" s="7" t="s">
        <v>4</v>
      </c>
      <c r="C70" s="7" t="s">
        <v>5</v>
      </c>
      <c r="D70" s="7" t="s">
        <v>6</v>
      </c>
      <c r="E70" s="7" t="s">
        <v>7</v>
      </c>
      <c r="F70" s="7" t="s">
        <v>8</v>
      </c>
      <c r="G70" s="7" t="s">
        <v>9</v>
      </c>
      <c r="H70" s="7" t="s">
        <v>10</v>
      </c>
      <c r="I70" s="7" t="s">
        <v>11</v>
      </c>
      <c r="J70" s="7" t="s">
        <v>12</v>
      </c>
      <c r="K70" s="7" t="s">
        <v>13</v>
      </c>
      <c r="L70" s="7" t="s">
        <v>14</v>
      </c>
      <c r="M70" s="7" t="s">
        <v>15</v>
      </c>
      <c r="N70" s="7" t="s">
        <v>3</v>
      </c>
      <c r="O70" s="8"/>
    </row>
    <row r="71" spans="1:15" x14ac:dyDescent="0.25">
      <c r="A71" s="7" t="s">
        <v>19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3"/>
      <c r="O71" s="8"/>
    </row>
    <row r="72" spans="1:15" x14ac:dyDescent="0.25">
      <c r="A72" s="8" t="s">
        <v>119</v>
      </c>
      <c r="B72" s="29">
        <f>SUM((30*20)*40)</f>
        <v>24000</v>
      </c>
      <c r="C72" s="29">
        <f>SUM((31*10)*40)</f>
        <v>12400</v>
      </c>
      <c r="D72" s="29">
        <f>SUM((30*14)*40)</f>
        <v>16800</v>
      </c>
      <c r="E72" s="29">
        <f>SUM((31*24)*40)</f>
        <v>29760</v>
      </c>
      <c r="F72" s="29">
        <f>SUM((31*24)*40)</f>
        <v>29760</v>
      </c>
      <c r="G72" s="29">
        <f>SUM((30*14)*40)</f>
        <v>16800</v>
      </c>
      <c r="H72" s="29">
        <f>SUM((31*10)*40)</f>
        <v>12400</v>
      </c>
      <c r="I72" s="29">
        <f>SUM((30*2)*40)</f>
        <v>2400</v>
      </c>
      <c r="J72" s="29">
        <f>SUM((7*24)*40)</f>
        <v>6720</v>
      </c>
      <c r="K72" s="29">
        <f>SUM((31*2)*40)</f>
        <v>2480</v>
      </c>
      <c r="L72" s="29">
        <f>SUM((28*2)*40)</f>
        <v>2240</v>
      </c>
      <c r="M72" s="29">
        <f>SUM((31*3)*40)</f>
        <v>3720</v>
      </c>
      <c r="N72" s="33">
        <f>SUM(B72:M72)</f>
        <v>159480</v>
      </c>
      <c r="O72" s="8"/>
    </row>
    <row r="73" spans="1:15" x14ac:dyDescent="0.25">
      <c r="A73" s="8"/>
      <c r="B73" s="29">
        <v>0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33">
        <f>SUM(B73:M73)</f>
        <v>0</v>
      </c>
      <c r="O73" s="13"/>
    </row>
    <row r="74" spans="1:15" x14ac:dyDescent="0.25">
      <c r="A74" s="7" t="s">
        <v>22</v>
      </c>
      <c r="B74" s="29">
        <f t="shared" ref="B74" si="89">SUM(B72:B73)</f>
        <v>24000</v>
      </c>
      <c r="C74" s="29">
        <f t="shared" ref="C74" si="90">SUM(C72:C73)</f>
        <v>12400</v>
      </c>
      <c r="D74" s="29">
        <f t="shared" ref="D74" si="91">SUM(D72:D73)</f>
        <v>16800</v>
      </c>
      <c r="E74" s="29">
        <f t="shared" ref="E74" si="92">SUM(E72:E73)</f>
        <v>29760</v>
      </c>
      <c r="F74" s="29">
        <f t="shared" ref="F74" si="93">SUM(F72:F73)</f>
        <v>29760</v>
      </c>
      <c r="G74" s="29">
        <f t="shared" ref="G74" si="94">SUM(G72:G73)</f>
        <v>16800</v>
      </c>
      <c r="H74" s="29">
        <f t="shared" ref="H74" si="95">SUM(H72:H73)</f>
        <v>12400</v>
      </c>
      <c r="I74" s="29">
        <f t="shared" ref="I74" si="96">SUM(I72:I73)</f>
        <v>2400</v>
      </c>
      <c r="J74" s="29">
        <f t="shared" ref="J74" si="97">SUM(J72:J73)</f>
        <v>6720</v>
      </c>
      <c r="K74" s="29">
        <f t="shared" ref="K74" si="98">SUM(K72:K73)</f>
        <v>2480</v>
      </c>
      <c r="L74" s="29">
        <f t="shared" ref="L74" si="99">SUM(L72:L73)</f>
        <v>2240</v>
      </c>
      <c r="M74" s="29">
        <f t="shared" ref="M74" si="100">SUM(M72:M73)</f>
        <v>3720</v>
      </c>
      <c r="N74" s="33">
        <f t="shared" ref="N74" si="101">SUM(N72:N73)</f>
        <v>159480</v>
      </c>
      <c r="O74" s="13"/>
    </row>
    <row r="75" spans="1:15" x14ac:dyDescent="0.25">
      <c r="A75" s="7" t="s">
        <v>1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33"/>
      <c r="O75" s="13"/>
    </row>
    <row r="76" spans="1:15" x14ac:dyDescent="0.25">
      <c r="A76" s="8" t="s">
        <v>120</v>
      </c>
      <c r="B76" s="29">
        <f>SUM(170/100*103)</f>
        <v>175.1</v>
      </c>
      <c r="C76" s="29">
        <f t="shared" ref="C76:M76" si="102">SUM(170/100*103)</f>
        <v>175.1</v>
      </c>
      <c r="D76" s="29">
        <f t="shared" si="102"/>
        <v>175.1</v>
      </c>
      <c r="E76" s="29">
        <f t="shared" si="102"/>
        <v>175.1</v>
      </c>
      <c r="F76" s="29">
        <f t="shared" si="102"/>
        <v>175.1</v>
      </c>
      <c r="G76" s="29">
        <f t="shared" si="102"/>
        <v>175.1</v>
      </c>
      <c r="H76" s="29">
        <f t="shared" si="102"/>
        <v>175.1</v>
      </c>
      <c r="I76" s="29">
        <f t="shared" si="102"/>
        <v>175.1</v>
      </c>
      <c r="J76" s="29">
        <f t="shared" si="102"/>
        <v>175.1</v>
      </c>
      <c r="K76" s="29">
        <f t="shared" si="102"/>
        <v>175.1</v>
      </c>
      <c r="L76" s="29">
        <f t="shared" si="102"/>
        <v>175.1</v>
      </c>
      <c r="M76" s="29">
        <f t="shared" si="102"/>
        <v>175.1</v>
      </c>
      <c r="N76" s="33">
        <f>SUM(B76:M76)</f>
        <v>2101.1999999999994</v>
      </c>
      <c r="O76" s="13"/>
    </row>
    <row r="77" spans="1:15" x14ac:dyDescent="0.25">
      <c r="A77" s="15" t="s">
        <v>121</v>
      </c>
      <c r="B77" s="29">
        <f>SUM(B76/3)</f>
        <v>58.366666666666667</v>
      </c>
      <c r="C77" s="29">
        <f t="shared" ref="C77" si="103">SUM(C76/3)</f>
        <v>58.366666666666667</v>
      </c>
      <c r="D77" s="29">
        <f t="shared" ref="D77" si="104">SUM(D76/3)</f>
        <v>58.366666666666667</v>
      </c>
      <c r="E77" s="29">
        <f t="shared" ref="E77" si="105">SUM(E76/3)</f>
        <v>58.366666666666667</v>
      </c>
      <c r="F77" s="29">
        <f t="shared" ref="F77" si="106">SUM(F76/3)</f>
        <v>58.366666666666667</v>
      </c>
      <c r="G77" s="29">
        <f t="shared" ref="G77" si="107">SUM(G76/3)</f>
        <v>58.366666666666667</v>
      </c>
      <c r="H77" s="29">
        <f t="shared" ref="H77" si="108">SUM(H76/3)</f>
        <v>58.366666666666667</v>
      </c>
      <c r="I77" s="29">
        <f t="shared" ref="I77" si="109">SUM(I76/3)</f>
        <v>58.366666666666667</v>
      </c>
      <c r="J77" s="29">
        <f t="shared" ref="J77" si="110">SUM(J76/3)</f>
        <v>58.366666666666667</v>
      </c>
      <c r="K77" s="29">
        <f t="shared" ref="K77" si="111">SUM(K76/3)</f>
        <v>58.366666666666667</v>
      </c>
      <c r="L77" s="29">
        <f t="shared" ref="L77" si="112">SUM(L76/3)</f>
        <v>58.366666666666667</v>
      </c>
      <c r="M77" s="29">
        <f t="shared" ref="M77" si="113">SUM(M76/3)</f>
        <v>58.366666666666667</v>
      </c>
      <c r="N77" s="33">
        <f t="shared" ref="N77:N83" si="114">SUM(B77:M77)</f>
        <v>700.4</v>
      </c>
      <c r="O77" s="13"/>
    </row>
    <row r="78" spans="1:15" x14ac:dyDescent="0.25">
      <c r="A78" s="15" t="s">
        <v>122</v>
      </c>
      <c r="B78" s="29">
        <f t="shared" ref="B78:D78" si="115">SUM(B72/10)</f>
        <v>2400</v>
      </c>
      <c r="C78" s="29">
        <f t="shared" si="115"/>
        <v>1240</v>
      </c>
      <c r="D78" s="29">
        <f t="shared" si="115"/>
        <v>1680</v>
      </c>
      <c r="E78" s="29">
        <f>SUM(E72/10)</f>
        <v>2976</v>
      </c>
      <c r="F78" s="29">
        <f t="shared" ref="F78:M78" si="116">SUM(F72/10)</f>
        <v>2976</v>
      </c>
      <c r="G78" s="29">
        <f t="shared" si="116"/>
        <v>1680</v>
      </c>
      <c r="H78" s="29">
        <f t="shared" si="116"/>
        <v>1240</v>
      </c>
      <c r="I78" s="29">
        <f t="shared" si="116"/>
        <v>240</v>
      </c>
      <c r="J78" s="29">
        <f t="shared" si="116"/>
        <v>672</v>
      </c>
      <c r="K78" s="29">
        <f t="shared" si="116"/>
        <v>248</v>
      </c>
      <c r="L78" s="29">
        <f t="shared" si="116"/>
        <v>224</v>
      </c>
      <c r="M78" s="29">
        <f t="shared" si="116"/>
        <v>372</v>
      </c>
      <c r="N78" s="33">
        <f t="shared" si="114"/>
        <v>15948</v>
      </c>
      <c r="O78" s="13"/>
    </row>
    <row r="79" spans="1:15" x14ac:dyDescent="0.25">
      <c r="A79" s="15" t="s">
        <v>141</v>
      </c>
      <c r="B79" s="29">
        <v>1150</v>
      </c>
      <c r="C79" s="29">
        <v>1150</v>
      </c>
      <c r="D79" s="29">
        <v>1150</v>
      </c>
      <c r="E79" s="29">
        <v>1150</v>
      </c>
      <c r="F79" s="29">
        <v>1150</v>
      </c>
      <c r="G79" s="29">
        <v>1150</v>
      </c>
      <c r="H79" s="29">
        <v>1150</v>
      </c>
      <c r="I79" s="29">
        <v>1150</v>
      </c>
      <c r="J79" s="29">
        <v>1150</v>
      </c>
      <c r="K79" s="29">
        <v>1150</v>
      </c>
      <c r="L79" s="29">
        <v>1150</v>
      </c>
      <c r="M79" s="29">
        <v>1150</v>
      </c>
      <c r="N79" s="33">
        <f t="shared" si="114"/>
        <v>13800</v>
      </c>
      <c r="O79" s="13"/>
    </row>
    <row r="80" spans="1:15" x14ac:dyDescent="0.25">
      <c r="A80" s="15" t="s">
        <v>66</v>
      </c>
      <c r="B80" s="29">
        <f>SUM(B77*2)</f>
        <v>116.73333333333333</v>
      </c>
      <c r="C80" s="29">
        <f t="shared" ref="C80:M80" si="117">SUM(C77*2)</f>
        <v>116.73333333333333</v>
      </c>
      <c r="D80" s="29">
        <f t="shared" si="117"/>
        <v>116.73333333333333</v>
      </c>
      <c r="E80" s="29">
        <f t="shared" si="117"/>
        <v>116.73333333333333</v>
      </c>
      <c r="F80" s="29">
        <f t="shared" si="117"/>
        <v>116.73333333333333</v>
      </c>
      <c r="G80" s="29">
        <f t="shared" si="117"/>
        <v>116.73333333333333</v>
      </c>
      <c r="H80" s="29">
        <f t="shared" si="117"/>
        <v>116.73333333333333</v>
      </c>
      <c r="I80" s="29">
        <f t="shared" si="117"/>
        <v>116.73333333333333</v>
      </c>
      <c r="J80" s="29">
        <f t="shared" si="117"/>
        <v>116.73333333333333</v>
      </c>
      <c r="K80" s="29">
        <f t="shared" si="117"/>
        <v>116.73333333333333</v>
      </c>
      <c r="L80" s="29">
        <f t="shared" si="117"/>
        <v>116.73333333333333</v>
      </c>
      <c r="M80" s="29">
        <f t="shared" si="117"/>
        <v>116.73333333333333</v>
      </c>
      <c r="N80" s="33">
        <f t="shared" si="114"/>
        <v>1400.8</v>
      </c>
      <c r="O80" s="13"/>
    </row>
    <row r="81" spans="1:15" x14ac:dyDescent="0.25">
      <c r="A81" s="15" t="s">
        <v>142</v>
      </c>
      <c r="B81" s="29">
        <v>0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1750</v>
      </c>
      <c r="N81" s="33">
        <f t="shared" si="114"/>
        <v>1750</v>
      </c>
      <c r="O81" s="13"/>
    </row>
    <row r="82" spans="1:15" x14ac:dyDescent="0.25">
      <c r="A82" s="15" t="s">
        <v>143</v>
      </c>
      <c r="B82" s="29">
        <v>150</v>
      </c>
      <c r="C82" s="29">
        <v>150</v>
      </c>
      <c r="D82" s="29">
        <v>150</v>
      </c>
      <c r="E82" s="29">
        <v>150</v>
      </c>
      <c r="F82" s="29">
        <v>150</v>
      </c>
      <c r="G82" s="29">
        <v>150</v>
      </c>
      <c r="H82" s="29">
        <v>150</v>
      </c>
      <c r="I82" s="29">
        <v>150</v>
      </c>
      <c r="J82" s="29">
        <v>150</v>
      </c>
      <c r="K82" s="29">
        <v>150</v>
      </c>
      <c r="L82" s="29">
        <v>150</v>
      </c>
      <c r="M82" s="29">
        <v>150</v>
      </c>
      <c r="N82" s="33">
        <f t="shared" si="114"/>
        <v>1800</v>
      </c>
      <c r="O82" s="13"/>
    </row>
    <row r="83" spans="1:15" x14ac:dyDescent="0.25">
      <c r="A83" s="15" t="s">
        <v>169</v>
      </c>
      <c r="B83" s="29">
        <f>SUM(887/100*103)</f>
        <v>913.6099999999999</v>
      </c>
      <c r="C83" s="29">
        <f t="shared" ref="C83:M83" si="118">SUM(887/100*103)</f>
        <v>913.6099999999999</v>
      </c>
      <c r="D83" s="29">
        <f t="shared" si="118"/>
        <v>913.6099999999999</v>
      </c>
      <c r="E83" s="29">
        <f t="shared" si="118"/>
        <v>913.6099999999999</v>
      </c>
      <c r="F83" s="29">
        <f t="shared" si="118"/>
        <v>913.6099999999999</v>
      </c>
      <c r="G83" s="29">
        <f t="shared" si="118"/>
        <v>913.6099999999999</v>
      </c>
      <c r="H83" s="29">
        <f t="shared" si="118"/>
        <v>913.6099999999999</v>
      </c>
      <c r="I83" s="29">
        <f t="shared" si="118"/>
        <v>913.6099999999999</v>
      </c>
      <c r="J83" s="29">
        <f t="shared" si="118"/>
        <v>913.6099999999999</v>
      </c>
      <c r="K83" s="29">
        <f t="shared" si="118"/>
        <v>913.6099999999999</v>
      </c>
      <c r="L83" s="29">
        <f t="shared" si="118"/>
        <v>913.6099999999999</v>
      </c>
      <c r="M83" s="29">
        <f t="shared" si="118"/>
        <v>913.6099999999999</v>
      </c>
      <c r="N83" s="33">
        <f t="shared" si="114"/>
        <v>10963.32</v>
      </c>
      <c r="O83" s="13"/>
    </row>
    <row r="84" spans="1:15" x14ac:dyDescent="0.25">
      <c r="A84" s="7" t="s">
        <v>24</v>
      </c>
      <c r="B84" s="29">
        <f t="shared" ref="B84" si="119">SUM(B76:B83)</f>
        <v>4963.8099999999995</v>
      </c>
      <c r="C84" s="29">
        <f t="shared" ref="C84" si="120">SUM(C76:C83)</f>
        <v>3803.8099999999995</v>
      </c>
      <c r="D84" s="29">
        <f t="shared" ref="D84" si="121">SUM(D76:D83)</f>
        <v>4243.8099999999995</v>
      </c>
      <c r="E84" s="29">
        <f t="shared" ref="E84" si="122">SUM(E76:E83)</f>
        <v>5539.81</v>
      </c>
      <c r="F84" s="29">
        <f t="shared" ref="F84" si="123">SUM(F76:F83)</f>
        <v>5539.81</v>
      </c>
      <c r="G84" s="29">
        <f t="shared" ref="G84" si="124">SUM(G76:G83)</f>
        <v>4243.8099999999995</v>
      </c>
      <c r="H84" s="29">
        <f t="shared" ref="H84" si="125">SUM(H76:H83)</f>
        <v>3803.8099999999995</v>
      </c>
      <c r="I84" s="29">
        <f t="shared" ref="I84" si="126">SUM(I76:I83)</f>
        <v>2803.81</v>
      </c>
      <c r="J84" s="29">
        <f t="shared" ref="J84" si="127">SUM(J76:J83)</f>
        <v>3235.8099999999995</v>
      </c>
      <c r="K84" s="29">
        <f t="shared" ref="K84" si="128">SUM(K76:K83)</f>
        <v>2811.81</v>
      </c>
      <c r="L84" s="29">
        <f t="shared" ref="L84" si="129">SUM(L76:L83)</f>
        <v>2787.81</v>
      </c>
      <c r="M84" s="29">
        <f t="shared" ref="M84" si="130">SUM(M76:M83)</f>
        <v>4685.8099999999995</v>
      </c>
      <c r="N84" s="33">
        <f t="shared" ref="N84" si="131">SUM(N76:N83)</f>
        <v>48463.72</v>
      </c>
      <c r="O84" s="13"/>
    </row>
    <row r="85" spans="1:15" x14ac:dyDescent="0.25">
      <c r="A85" s="11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12"/>
      <c r="O85" s="10"/>
    </row>
    <row r="86" spans="1:15" x14ac:dyDescent="0.25">
      <c r="A86" s="7" t="s">
        <v>197</v>
      </c>
      <c r="B86" s="7" t="s">
        <v>4</v>
      </c>
      <c r="C86" s="7" t="s">
        <v>5</v>
      </c>
      <c r="D86" s="7" t="s">
        <v>6</v>
      </c>
      <c r="E86" s="7" t="s">
        <v>7</v>
      </c>
      <c r="F86" s="7" t="s">
        <v>8</v>
      </c>
      <c r="G86" s="7" t="s">
        <v>9</v>
      </c>
      <c r="H86" s="7" t="s">
        <v>10</v>
      </c>
      <c r="I86" s="7" t="s">
        <v>11</v>
      </c>
      <c r="J86" s="7" t="s">
        <v>12</v>
      </c>
      <c r="K86" s="7" t="s">
        <v>13</v>
      </c>
      <c r="L86" s="7" t="s">
        <v>14</v>
      </c>
      <c r="M86" s="7" t="s">
        <v>15</v>
      </c>
      <c r="N86" s="7" t="s">
        <v>3</v>
      </c>
      <c r="O86" s="8"/>
    </row>
    <row r="87" spans="1:15" x14ac:dyDescent="0.25">
      <c r="A87" s="7" t="s">
        <v>19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3"/>
      <c r="O87" s="8"/>
    </row>
    <row r="88" spans="1:15" x14ac:dyDescent="0.25">
      <c r="A88" s="8" t="s">
        <v>119</v>
      </c>
      <c r="B88" s="29">
        <f>SUM((30*20)*41)</f>
        <v>24600</v>
      </c>
      <c r="C88" s="29">
        <f>SUM((31*10)*41)</f>
        <v>12710</v>
      </c>
      <c r="D88" s="29">
        <f>SUM((30*14)*41)</f>
        <v>17220</v>
      </c>
      <c r="E88" s="29">
        <f>SUM((31*24)*41)</f>
        <v>30504</v>
      </c>
      <c r="F88" s="29">
        <f>SUM((31*24)*41)</f>
        <v>30504</v>
      </c>
      <c r="G88" s="29">
        <f>SUM((30*14)*41)</f>
        <v>17220</v>
      </c>
      <c r="H88" s="29">
        <f>SUM((31*10)*41)</f>
        <v>12710</v>
      </c>
      <c r="I88" s="29">
        <f>SUM((30*2)*41)</f>
        <v>2460</v>
      </c>
      <c r="J88" s="29">
        <f>SUM((7*24)*41)</f>
        <v>6888</v>
      </c>
      <c r="K88" s="29">
        <f>SUM((31*2)*41)</f>
        <v>2542</v>
      </c>
      <c r="L88" s="29">
        <f>SUM((28*2)*41)</f>
        <v>2296</v>
      </c>
      <c r="M88" s="29">
        <f>SUM((31*3)*41)</f>
        <v>3813</v>
      </c>
      <c r="N88" s="33">
        <f>SUM(B88:M88)</f>
        <v>163467</v>
      </c>
      <c r="O88" s="8"/>
    </row>
    <row r="89" spans="1:15" x14ac:dyDescent="0.25">
      <c r="A89" s="8"/>
      <c r="B89" s="29">
        <v>0</v>
      </c>
      <c r="C89" s="29">
        <v>0</v>
      </c>
      <c r="D89" s="29">
        <v>0</v>
      </c>
      <c r="E89" s="29">
        <v>0</v>
      </c>
      <c r="F89" s="29">
        <v>0</v>
      </c>
      <c r="G89" s="29">
        <v>0</v>
      </c>
      <c r="H89" s="29">
        <v>0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33">
        <f>SUM(B89:M89)</f>
        <v>0</v>
      </c>
      <c r="O89" s="13"/>
    </row>
    <row r="90" spans="1:15" x14ac:dyDescent="0.25">
      <c r="A90" s="7" t="s">
        <v>22</v>
      </c>
      <c r="B90" s="29">
        <f t="shared" ref="B90" si="132">SUM(B88:B89)</f>
        <v>24600</v>
      </c>
      <c r="C90" s="29">
        <f t="shared" ref="C90" si="133">SUM(C88:C89)</f>
        <v>12710</v>
      </c>
      <c r="D90" s="29">
        <f t="shared" ref="D90" si="134">SUM(D88:D89)</f>
        <v>17220</v>
      </c>
      <c r="E90" s="29">
        <f t="shared" ref="E90" si="135">SUM(E88:E89)</f>
        <v>30504</v>
      </c>
      <c r="F90" s="29">
        <f t="shared" ref="F90" si="136">SUM(F88:F89)</f>
        <v>30504</v>
      </c>
      <c r="G90" s="29">
        <f t="shared" ref="G90" si="137">SUM(G88:G89)</f>
        <v>17220</v>
      </c>
      <c r="H90" s="29">
        <f t="shared" ref="H90" si="138">SUM(H88:H89)</f>
        <v>12710</v>
      </c>
      <c r="I90" s="29">
        <f t="shared" ref="I90" si="139">SUM(I88:I89)</f>
        <v>2460</v>
      </c>
      <c r="J90" s="29">
        <f t="shared" ref="J90" si="140">SUM(J88:J89)</f>
        <v>6888</v>
      </c>
      <c r="K90" s="29">
        <f t="shared" ref="K90" si="141">SUM(K88:K89)</f>
        <v>2542</v>
      </c>
      <c r="L90" s="29">
        <f t="shared" ref="L90" si="142">SUM(L88:L89)</f>
        <v>2296</v>
      </c>
      <c r="M90" s="29">
        <f t="shared" ref="M90" si="143">SUM(M88:M89)</f>
        <v>3813</v>
      </c>
      <c r="N90" s="33">
        <f t="shared" ref="N90" si="144">SUM(N88:N89)</f>
        <v>163467</v>
      </c>
      <c r="O90" s="13"/>
    </row>
    <row r="91" spans="1:15" x14ac:dyDescent="0.25">
      <c r="A91" s="7" t="s">
        <v>1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33"/>
      <c r="O91" s="13"/>
    </row>
    <row r="92" spans="1:15" x14ac:dyDescent="0.25">
      <c r="A92" s="8" t="s">
        <v>120</v>
      </c>
      <c r="B92" s="29">
        <f>SUM(175/100*103)</f>
        <v>180.25</v>
      </c>
      <c r="C92" s="29">
        <f t="shared" ref="C92:M92" si="145">SUM(175/100*103)</f>
        <v>180.25</v>
      </c>
      <c r="D92" s="29">
        <f t="shared" si="145"/>
        <v>180.25</v>
      </c>
      <c r="E92" s="29">
        <f t="shared" si="145"/>
        <v>180.25</v>
      </c>
      <c r="F92" s="29">
        <f t="shared" si="145"/>
        <v>180.25</v>
      </c>
      <c r="G92" s="29">
        <f t="shared" si="145"/>
        <v>180.25</v>
      </c>
      <c r="H92" s="29">
        <f t="shared" si="145"/>
        <v>180.25</v>
      </c>
      <c r="I92" s="29">
        <f t="shared" si="145"/>
        <v>180.25</v>
      </c>
      <c r="J92" s="29">
        <f t="shared" si="145"/>
        <v>180.25</v>
      </c>
      <c r="K92" s="29">
        <f t="shared" si="145"/>
        <v>180.25</v>
      </c>
      <c r="L92" s="29">
        <f t="shared" si="145"/>
        <v>180.25</v>
      </c>
      <c r="M92" s="29">
        <f t="shared" si="145"/>
        <v>180.25</v>
      </c>
      <c r="N92" s="33">
        <f>SUM(B92:M92)</f>
        <v>2163</v>
      </c>
      <c r="O92" s="13"/>
    </row>
    <row r="93" spans="1:15" x14ac:dyDescent="0.25">
      <c r="A93" s="15" t="s">
        <v>121</v>
      </c>
      <c r="B93" s="29">
        <f>SUM(B92/3)</f>
        <v>60.083333333333336</v>
      </c>
      <c r="C93" s="29">
        <f t="shared" ref="C93" si="146">SUM(C92/3)</f>
        <v>60.083333333333336</v>
      </c>
      <c r="D93" s="29">
        <f t="shared" ref="D93" si="147">SUM(D92/3)</f>
        <v>60.083333333333336</v>
      </c>
      <c r="E93" s="29">
        <f t="shared" ref="E93" si="148">SUM(E92/3)</f>
        <v>60.083333333333336</v>
      </c>
      <c r="F93" s="29">
        <f t="shared" ref="F93" si="149">SUM(F92/3)</f>
        <v>60.083333333333336</v>
      </c>
      <c r="G93" s="29">
        <f t="shared" ref="G93" si="150">SUM(G92/3)</f>
        <v>60.083333333333336</v>
      </c>
      <c r="H93" s="29">
        <f t="shared" ref="H93" si="151">SUM(H92/3)</f>
        <v>60.083333333333336</v>
      </c>
      <c r="I93" s="29">
        <f t="shared" ref="I93" si="152">SUM(I92/3)</f>
        <v>60.083333333333336</v>
      </c>
      <c r="J93" s="29">
        <f t="shared" ref="J93" si="153">SUM(J92/3)</f>
        <v>60.083333333333336</v>
      </c>
      <c r="K93" s="29">
        <f t="shared" ref="K93" si="154">SUM(K92/3)</f>
        <v>60.083333333333336</v>
      </c>
      <c r="L93" s="29">
        <f t="shared" ref="L93" si="155">SUM(L92/3)</f>
        <v>60.083333333333336</v>
      </c>
      <c r="M93" s="29">
        <f t="shared" ref="M93" si="156">SUM(M92/3)</f>
        <v>60.083333333333336</v>
      </c>
      <c r="N93" s="33">
        <f t="shared" ref="N93:N99" si="157">SUM(B93:M93)</f>
        <v>721.00000000000011</v>
      </c>
      <c r="O93" s="13"/>
    </row>
    <row r="94" spans="1:15" x14ac:dyDescent="0.25">
      <c r="A94" s="15" t="s">
        <v>122</v>
      </c>
      <c r="B94" s="29">
        <f t="shared" ref="B94:D94" si="158">SUM(B88/10)</f>
        <v>2460</v>
      </c>
      <c r="C94" s="29">
        <f t="shared" si="158"/>
        <v>1271</v>
      </c>
      <c r="D94" s="29">
        <f t="shared" si="158"/>
        <v>1722</v>
      </c>
      <c r="E94" s="29">
        <f>SUM(E88/10)</f>
        <v>3050.4</v>
      </c>
      <c r="F94" s="29">
        <f t="shared" ref="F94:M94" si="159">SUM(F88/10)</f>
        <v>3050.4</v>
      </c>
      <c r="G94" s="29">
        <f t="shared" si="159"/>
        <v>1722</v>
      </c>
      <c r="H94" s="29">
        <f t="shared" si="159"/>
        <v>1271</v>
      </c>
      <c r="I94" s="29">
        <f t="shared" si="159"/>
        <v>246</v>
      </c>
      <c r="J94" s="29">
        <f t="shared" si="159"/>
        <v>688.8</v>
      </c>
      <c r="K94" s="29">
        <f t="shared" si="159"/>
        <v>254.2</v>
      </c>
      <c r="L94" s="29">
        <f t="shared" si="159"/>
        <v>229.6</v>
      </c>
      <c r="M94" s="29">
        <f t="shared" si="159"/>
        <v>381.3</v>
      </c>
      <c r="N94" s="33">
        <f t="shared" si="157"/>
        <v>16346.699999999999</v>
      </c>
      <c r="O94" s="13"/>
    </row>
    <row r="95" spans="1:15" x14ac:dyDescent="0.25">
      <c r="A95" s="15" t="s">
        <v>141</v>
      </c>
      <c r="B95" s="29">
        <v>1200</v>
      </c>
      <c r="C95" s="29">
        <v>1200</v>
      </c>
      <c r="D95" s="29">
        <v>1200</v>
      </c>
      <c r="E95" s="29">
        <v>1200</v>
      </c>
      <c r="F95" s="29">
        <v>1200</v>
      </c>
      <c r="G95" s="29">
        <v>1200</v>
      </c>
      <c r="H95" s="29">
        <v>1200</v>
      </c>
      <c r="I95" s="29">
        <v>1200</v>
      </c>
      <c r="J95" s="29">
        <v>1200</v>
      </c>
      <c r="K95" s="29">
        <v>1200</v>
      </c>
      <c r="L95" s="29">
        <v>1200</v>
      </c>
      <c r="M95" s="29">
        <v>1200</v>
      </c>
      <c r="N95" s="33">
        <f t="shared" si="157"/>
        <v>14400</v>
      </c>
      <c r="O95" s="13"/>
    </row>
    <row r="96" spans="1:15" x14ac:dyDescent="0.25">
      <c r="A96" s="15" t="s">
        <v>66</v>
      </c>
      <c r="B96" s="29">
        <f>SUM(B93*2)</f>
        <v>120.16666666666667</v>
      </c>
      <c r="C96" s="29">
        <f t="shared" ref="C96:M96" si="160">SUM(C93*2)</f>
        <v>120.16666666666667</v>
      </c>
      <c r="D96" s="29">
        <f t="shared" si="160"/>
        <v>120.16666666666667</v>
      </c>
      <c r="E96" s="29">
        <f t="shared" si="160"/>
        <v>120.16666666666667</v>
      </c>
      <c r="F96" s="29">
        <f t="shared" si="160"/>
        <v>120.16666666666667</v>
      </c>
      <c r="G96" s="29">
        <f t="shared" si="160"/>
        <v>120.16666666666667</v>
      </c>
      <c r="H96" s="29">
        <f t="shared" si="160"/>
        <v>120.16666666666667</v>
      </c>
      <c r="I96" s="29">
        <f t="shared" si="160"/>
        <v>120.16666666666667</v>
      </c>
      <c r="J96" s="29">
        <f t="shared" si="160"/>
        <v>120.16666666666667</v>
      </c>
      <c r="K96" s="29">
        <f t="shared" si="160"/>
        <v>120.16666666666667</v>
      </c>
      <c r="L96" s="29">
        <f t="shared" si="160"/>
        <v>120.16666666666667</v>
      </c>
      <c r="M96" s="29">
        <f t="shared" si="160"/>
        <v>120.16666666666667</v>
      </c>
      <c r="N96" s="33">
        <f t="shared" si="157"/>
        <v>1442.0000000000002</v>
      </c>
      <c r="O96" s="13"/>
    </row>
    <row r="97" spans="1:15" x14ac:dyDescent="0.25">
      <c r="A97" s="15" t="s">
        <v>142</v>
      </c>
      <c r="B97" s="29">
        <v>0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2000</v>
      </c>
      <c r="N97" s="33">
        <f t="shared" si="157"/>
        <v>2000</v>
      </c>
      <c r="O97" s="13"/>
    </row>
    <row r="98" spans="1:15" x14ac:dyDescent="0.25">
      <c r="A98" s="15" t="s">
        <v>143</v>
      </c>
      <c r="B98" s="29">
        <v>175</v>
      </c>
      <c r="C98" s="29">
        <v>175</v>
      </c>
      <c r="D98" s="29">
        <v>175</v>
      </c>
      <c r="E98" s="29">
        <v>175</v>
      </c>
      <c r="F98" s="29">
        <v>175</v>
      </c>
      <c r="G98" s="29">
        <v>175</v>
      </c>
      <c r="H98" s="29">
        <v>175</v>
      </c>
      <c r="I98" s="29">
        <v>175</v>
      </c>
      <c r="J98" s="29">
        <v>175</v>
      </c>
      <c r="K98" s="29">
        <v>175</v>
      </c>
      <c r="L98" s="29">
        <v>175</v>
      </c>
      <c r="M98" s="29">
        <v>175</v>
      </c>
      <c r="N98" s="33">
        <f t="shared" si="157"/>
        <v>2100</v>
      </c>
      <c r="O98" s="13"/>
    </row>
    <row r="99" spans="1:15" x14ac:dyDescent="0.25">
      <c r="A99" s="15" t="s">
        <v>169</v>
      </c>
      <c r="B99" s="29">
        <f>SUM(914/100*103)</f>
        <v>941.42000000000007</v>
      </c>
      <c r="C99" s="29">
        <f t="shared" ref="C99:M99" si="161">SUM(914/100*103)</f>
        <v>941.42000000000007</v>
      </c>
      <c r="D99" s="29">
        <f t="shared" si="161"/>
        <v>941.42000000000007</v>
      </c>
      <c r="E99" s="29">
        <f t="shared" si="161"/>
        <v>941.42000000000007</v>
      </c>
      <c r="F99" s="29">
        <f t="shared" si="161"/>
        <v>941.42000000000007</v>
      </c>
      <c r="G99" s="29">
        <f t="shared" si="161"/>
        <v>941.42000000000007</v>
      </c>
      <c r="H99" s="29">
        <f t="shared" si="161"/>
        <v>941.42000000000007</v>
      </c>
      <c r="I99" s="29">
        <f t="shared" si="161"/>
        <v>941.42000000000007</v>
      </c>
      <c r="J99" s="29">
        <f t="shared" si="161"/>
        <v>941.42000000000007</v>
      </c>
      <c r="K99" s="29">
        <f t="shared" si="161"/>
        <v>941.42000000000007</v>
      </c>
      <c r="L99" s="29">
        <f t="shared" si="161"/>
        <v>941.42000000000007</v>
      </c>
      <c r="M99" s="29">
        <f t="shared" si="161"/>
        <v>941.42000000000007</v>
      </c>
      <c r="N99" s="33">
        <f t="shared" si="157"/>
        <v>11297.04</v>
      </c>
      <c r="O99" s="13"/>
    </row>
    <row r="100" spans="1:15" x14ac:dyDescent="0.25">
      <c r="A100" s="7" t="s">
        <v>24</v>
      </c>
      <c r="B100" s="29">
        <f t="shared" ref="B100" si="162">SUM(B92:B99)</f>
        <v>5136.92</v>
      </c>
      <c r="C100" s="29">
        <f t="shared" ref="C100" si="163">SUM(C92:C99)</f>
        <v>3947.9199999999996</v>
      </c>
      <c r="D100" s="29">
        <f t="shared" ref="D100" si="164">SUM(D92:D99)</f>
        <v>4398.92</v>
      </c>
      <c r="E100" s="29">
        <f t="shared" ref="E100" si="165">SUM(E92:E99)</f>
        <v>5727.3200000000006</v>
      </c>
      <c r="F100" s="29">
        <f t="shared" ref="F100" si="166">SUM(F92:F99)</f>
        <v>5727.3200000000006</v>
      </c>
      <c r="G100" s="29">
        <f t="shared" ref="G100" si="167">SUM(G92:G99)</f>
        <v>4398.92</v>
      </c>
      <c r="H100" s="29">
        <f t="shared" ref="H100" si="168">SUM(H92:H99)</f>
        <v>3947.9199999999996</v>
      </c>
      <c r="I100" s="29">
        <f t="shared" ref="I100" si="169">SUM(I92:I99)</f>
        <v>2922.92</v>
      </c>
      <c r="J100" s="29">
        <f t="shared" ref="J100" si="170">SUM(J92:J99)</f>
        <v>3365.72</v>
      </c>
      <c r="K100" s="29">
        <f t="shared" ref="K100" si="171">SUM(K92:K99)</f>
        <v>2931.12</v>
      </c>
      <c r="L100" s="29">
        <f t="shared" ref="L100" si="172">SUM(L92:L99)</f>
        <v>2906.5200000000004</v>
      </c>
      <c r="M100" s="29">
        <f t="shared" ref="M100" si="173">SUM(M92:M99)</f>
        <v>5058.22</v>
      </c>
      <c r="N100" s="33">
        <f t="shared" ref="N100" si="174">SUM(N92:N99)</f>
        <v>50469.74</v>
      </c>
      <c r="O100" s="13"/>
    </row>
    <row r="101" spans="1:15" x14ac:dyDescent="0.25">
      <c r="A101" s="11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12"/>
      <c r="O101" s="10"/>
    </row>
    <row r="102" spans="1:15" x14ac:dyDescent="0.25">
      <c r="A102" s="7" t="s">
        <v>200</v>
      </c>
      <c r="B102" s="7" t="s">
        <v>4</v>
      </c>
      <c r="C102" s="7" t="s">
        <v>5</v>
      </c>
      <c r="D102" s="7" t="s">
        <v>6</v>
      </c>
      <c r="E102" s="7" t="s">
        <v>7</v>
      </c>
      <c r="F102" s="7" t="s">
        <v>8</v>
      </c>
      <c r="G102" s="7" t="s">
        <v>9</v>
      </c>
      <c r="H102" s="7" t="s">
        <v>10</v>
      </c>
      <c r="I102" s="7" t="s">
        <v>11</v>
      </c>
      <c r="J102" s="7" t="s">
        <v>12</v>
      </c>
      <c r="K102" s="7" t="s">
        <v>13</v>
      </c>
      <c r="L102" s="7" t="s">
        <v>14</v>
      </c>
      <c r="M102" s="7" t="s">
        <v>15</v>
      </c>
      <c r="N102" s="7" t="s">
        <v>3</v>
      </c>
      <c r="O102" s="8"/>
    </row>
    <row r="103" spans="1:15" x14ac:dyDescent="0.25">
      <c r="A103" s="7" t="s">
        <v>19</v>
      </c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3"/>
      <c r="O103" s="8"/>
    </row>
    <row r="104" spans="1:15" x14ac:dyDescent="0.25">
      <c r="A104" s="8" t="s">
        <v>119</v>
      </c>
      <c r="B104" s="29">
        <f>SUM((30*20)*42)</f>
        <v>25200</v>
      </c>
      <c r="C104" s="29">
        <f>SUM((31*10)*42)</f>
        <v>13020</v>
      </c>
      <c r="D104" s="29">
        <f>SUM((30*14)*42)</f>
        <v>17640</v>
      </c>
      <c r="E104" s="29">
        <f>SUM((31*24)*42)</f>
        <v>31248</v>
      </c>
      <c r="F104" s="29">
        <f>SUM((31*24)*42)</f>
        <v>31248</v>
      </c>
      <c r="G104" s="29">
        <f>SUM((30*14)*42)</f>
        <v>17640</v>
      </c>
      <c r="H104" s="29">
        <f>SUM((31*10)*42)</f>
        <v>13020</v>
      </c>
      <c r="I104" s="29">
        <f>SUM((30*2)*42)</f>
        <v>2520</v>
      </c>
      <c r="J104" s="29">
        <f>SUM((7*24)*42)</f>
        <v>7056</v>
      </c>
      <c r="K104" s="29">
        <f>SUM((31*2)*42)</f>
        <v>2604</v>
      </c>
      <c r="L104" s="29">
        <f>SUM((28*2)*42)</f>
        <v>2352</v>
      </c>
      <c r="M104" s="29">
        <f>SUM((31*3)*42)</f>
        <v>3906</v>
      </c>
      <c r="N104" s="33">
        <f>SUM(B104:M104)</f>
        <v>167454</v>
      </c>
      <c r="O104" s="8"/>
    </row>
    <row r="105" spans="1:15" x14ac:dyDescent="0.25">
      <c r="A105" s="8"/>
      <c r="B105" s="29">
        <v>0</v>
      </c>
      <c r="C105" s="29">
        <v>0</v>
      </c>
      <c r="D105" s="29">
        <v>0</v>
      </c>
      <c r="E105" s="29">
        <v>0</v>
      </c>
      <c r="F105" s="29">
        <v>0</v>
      </c>
      <c r="G105" s="29">
        <v>0</v>
      </c>
      <c r="H105" s="29">
        <v>0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33">
        <f>SUM(B105:M105)</f>
        <v>0</v>
      </c>
      <c r="O105" s="13"/>
    </row>
    <row r="106" spans="1:15" x14ac:dyDescent="0.25">
      <c r="A106" s="7" t="s">
        <v>22</v>
      </c>
      <c r="B106" s="29">
        <f t="shared" ref="B106" si="175">SUM(B104:B105)</f>
        <v>25200</v>
      </c>
      <c r="C106" s="29">
        <f t="shared" ref="C106" si="176">SUM(C104:C105)</f>
        <v>13020</v>
      </c>
      <c r="D106" s="29">
        <f t="shared" ref="D106" si="177">SUM(D104:D105)</f>
        <v>17640</v>
      </c>
      <c r="E106" s="29">
        <f t="shared" ref="E106" si="178">SUM(E104:E105)</f>
        <v>31248</v>
      </c>
      <c r="F106" s="29">
        <f t="shared" ref="F106" si="179">SUM(F104:F105)</f>
        <v>31248</v>
      </c>
      <c r="G106" s="29">
        <f t="shared" ref="G106" si="180">SUM(G104:G105)</f>
        <v>17640</v>
      </c>
      <c r="H106" s="29">
        <f t="shared" ref="H106" si="181">SUM(H104:H105)</f>
        <v>13020</v>
      </c>
      <c r="I106" s="29">
        <f t="shared" ref="I106" si="182">SUM(I104:I105)</f>
        <v>2520</v>
      </c>
      <c r="J106" s="29">
        <f t="shared" ref="J106" si="183">SUM(J104:J105)</f>
        <v>7056</v>
      </c>
      <c r="K106" s="29">
        <f t="shared" ref="K106" si="184">SUM(K104:K105)</f>
        <v>2604</v>
      </c>
      <c r="L106" s="29">
        <f t="shared" ref="L106" si="185">SUM(L104:L105)</f>
        <v>2352</v>
      </c>
      <c r="M106" s="29">
        <f t="shared" ref="M106" si="186">SUM(M104:M105)</f>
        <v>3906</v>
      </c>
      <c r="N106" s="33">
        <f t="shared" ref="N106" si="187">SUM(N104:N105)</f>
        <v>167454</v>
      </c>
      <c r="O106" s="13"/>
    </row>
    <row r="107" spans="1:15" x14ac:dyDescent="0.25">
      <c r="A107" s="7" t="s">
        <v>1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33"/>
      <c r="O107" s="13"/>
    </row>
    <row r="108" spans="1:15" x14ac:dyDescent="0.25">
      <c r="A108" s="8" t="s">
        <v>120</v>
      </c>
      <c r="B108" s="29">
        <f>SUM(180/100*103)</f>
        <v>185.4</v>
      </c>
      <c r="C108" s="29">
        <f t="shared" ref="C108:M108" si="188">SUM(180/100*103)</f>
        <v>185.4</v>
      </c>
      <c r="D108" s="29">
        <f t="shared" si="188"/>
        <v>185.4</v>
      </c>
      <c r="E108" s="29">
        <f t="shared" si="188"/>
        <v>185.4</v>
      </c>
      <c r="F108" s="29">
        <f t="shared" si="188"/>
        <v>185.4</v>
      </c>
      <c r="G108" s="29">
        <f t="shared" si="188"/>
        <v>185.4</v>
      </c>
      <c r="H108" s="29">
        <f t="shared" si="188"/>
        <v>185.4</v>
      </c>
      <c r="I108" s="29">
        <f t="shared" si="188"/>
        <v>185.4</v>
      </c>
      <c r="J108" s="29">
        <f t="shared" si="188"/>
        <v>185.4</v>
      </c>
      <c r="K108" s="29">
        <f t="shared" si="188"/>
        <v>185.4</v>
      </c>
      <c r="L108" s="29">
        <f t="shared" si="188"/>
        <v>185.4</v>
      </c>
      <c r="M108" s="29">
        <f t="shared" si="188"/>
        <v>185.4</v>
      </c>
      <c r="N108" s="33">
        <f>SUM(B108:M108)</f>
        <v>2224.8000000000006</v>
      </c>
      <c r="O108" s="13"/>
    </row>
    <row r="109" spans="1:15" x14ac:dyDescent="0.25">
      <c r="A109" s="15" t="s">
        <v>121</v>
      </c>
      <c r="B109" s="29">
        <f>SUM(B108/3)</f>
        <v>61.800000000000004</v>
      </c>
      <c r="C109" s="29">
        <f t="shared" ref="C109" si="189">SUM(C108/3)</f>
        <v>61.800000000000004</v>
      </c>
      <c r="D109" s="29">
        <f t="shared" ref="D109" si="190">SUM(D108/3)</f>
        <v>61.800000000000004</v>
      </c>
      <c r="E109" s="29">
        <f t="shared" ref="E109" si="191">SUM(E108/3)</f>
        <v>61.800000000000004</v>
      </c>
      <c r="F109" s="29">
        <f t="shared" ref="F109" si="192">SUM(F108/3)</f>
        <v>61.800000000000004</v>
      </c>
      <c r="G109" s="29">
        <f t="shared" ref="G109" si="193">SUM(G108/3)</f>
        <v>61.800000000000004</v>
      </c>
      <c r="H109" s="29">
        <f t="shared" ref="H109" si="194">SUM(H108/3)</f>
        <v>61.800000000000004</v>
      </c>
      <c r="I109" s="29">
        <f t="shared" ref="I109" si="195">SUM(I108/3)</f>
        <v>61.800000000000004</v>
      </c>
      <c r="J109" s="29">
        <f t="shared" ref="J109" si="196">SUM(J108/3)</f>
        <v>61.800000000000004</v>
      </c>
      <c r="K109" s="29">
        <f t="shared" ref="K109" si="197">SUM(K108/3)</f>
        <v>61.800000000000004</v>
      </c>
      <c r="L109" s="29">
        <f t="shared" ref="L109" si="198">SUM(L108/3)</f>
        <v>61.800000000000004</v>
      </c>
      <c r="M109" s="29">
        <f t="shared" ref="M109" si="199">SUM(M108/3)</f>
        <v>61.800000000000004</v>
      </c>
      <c r="N109" s="33">
        <f t="shared" ref="N109:N115" si="200">SUM(B109:M109)</f>
        <v>741.59999999999991</v>
      </c>
      <c r="O109" s="13"/>
    </row>
    <row r="110" spans="1:15" x14ac:dyDescent="0.25">
      <c r="A110" s="15" t="s">
        <v>122</v>
      </c>
      <c r="B110" s="29">
        <f t="shared" ref="B110:D110" si="201">SUM(B104/10)</f>
        <v>2520</v>
      </c>
      <c r="C110" s="29">
        <f t="shared" si="201"/>
        <v>1302</v>
      </c>
      <c r="D110" s="29">
        <f t="shared" si="201"/>
        <v>1764</v>
      </c>
      <c r="E110" s="29">
        <f>SUM(E104/10)</f>
        <v>3124.8</v>
      </c>
      <c r="F110" s="29">
        <f t="shared" ref="F110:M110" si="202">SUM(F104/10)</f>
        <v>3124.8</v>
      </c>
      <c r="G110" s="29">
        <f t="shared" si="202"/>
        <v>1764</v>
      </c>
      <c r="H110" s="29">
        <f t="shared" si="202"/>
        <v>1302</v>
      </c>
      <c r="I110" s="29">
        <f t="shared" si="202"/>
        <v>252</v>
      </c>
      <c r="J110" s="29">
        <f t="shared" si="202"/>
        <v>705.6</v>
      </c>
      <c r="K110" s="29">
        <f t="shared" si="202"/>
        <v>260.39999999999998</v>
      </c>
      <c r="L110" s="29">
        <f t="shared" si="202"/>
        <v>235.2</v>
      </c>
      <c r="M110" s="29">
        <f t="shared" si="202"/>
        <v>390.6</v>
      </c>
      <c r="N110" s="33">
        <f t="shared" si="200"/>
        <v>16745.399999999998</v>
      </c>
      <c r="O110" s="13"/>
    </row>
    <row r="111" spans="1:15" x14ac:dyDescent="0.25">
      <c r="A111" s="15" t="s">
        <v>141</v>
      </c>
      <c r="B111" s="29">
        <v>1250</v>
      </c>
      <c r="C111" s="29">
        <v>1250</v>
      </c>
      <c r="D111" s="29">
        <v>1250</v>
      </c>
      <c r="E111" s="29">
        <v>1250</v>
      </c>
      <c r="F111" s="29">
        <v>1250</v>
      </c>
      <c r="G111" s="29">
        <v>1250</v>
      </c>
      <c r="H111" s="29">
        <v>1250</v>
      </c>
      <c r="I111" s="29">
        <v>1250</v>
      </c>
      <c r="J111" s="29">
        <v>1250</v>
      </c>
      <c r="K111" s="29">
        <v>1250</v>
      </c>
      <c r="L111" s="29">
        <v>1250</v>
      </c>
      <c r="M111" s="29">
        <v>1250</v>
      </c>
      <c r="N111" s="33">
        <f t="shared" si="200"/>
        <v>15000</v>
      </c>
      <c r="O111" s="13"/>
    </row>
    <row r="112" spans="1:15" x14ac:dyDescent="0.25">
      <c r="A112" s="15" t="s">
        <v>66</v>
      </c>
      <c r="B112" s="29">
        <f>SUM(B109*2)</f>
        <v>123.60000000000001</v>
      </c>
      <c r="C112" s="29">
        <f t="shared" ref="C112:M112" si="203">SUM(C109*2)</f>
        <v>123.60000000000001</v>
      </c>
      <c r="D112" s="29">
        <f t="shared" si="203"/>
        <v>123.60000000000001</v>
      </c>
      <c r="E112" s="29">
        <f t="shared" si="203"/>
        <v>123.60000000000001</v>
      </c>
      <c r="F112" s="29">
        <f t="shared" si="203"/>
        <v>123.60000000000001</v>
      </c>
      <c r="G112" s="29">
        <f t="shared" si="203"/>
        <v>123.60000000000001</v>
      </c>
      <c r="H112" s="29">
        <f t="shared" si="203"/>
        <v>123.60000000000001</v>
      </c>
      <c r="I112" s="29">
        <f t="shared" si="203"/>
        <v>123.60000000000001</v>
      </c>
      <c r="J112" s="29">
        <f t="shared" si="203"/>
        <v>123.60000000000001</v>
      </c>
      <c r="K112" s="29">
        <f t="shared" si="203"/>
        <v>123.60000000000001</v>
      </c>
      <c r="L112" s="29">
        <f t="shared" si="203"/>
        <v>123.60000000000001</v>
      </c>
      <c r="M112" s="29">
        <f t="shared" si="203"/>
        <v>123.60000000000001</v>
      </c>
      <c r="N112" s="33">
        <f t="shared" si="200"/>
        <v>1483.1999999999998</v>
      </c>
      <c r="O112" s="13"/>
    </row>
    <row r="113" spans="1:15" x14ac:dyDescent="0.25">
      <c r="A113" s="15" t="s">
        <v>142</v>
      </c>
      <c r="B113" s="29">
        <v>0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2000</v>
      </c>
      <c r="N113" s="33">
        <f t="shared" si="200"/>
        <v>2000</v>
      </c>
      <c r="O113" s="13"/>
    </row>
    <row r="114" spans="1:15" x14ac:dyDescent="0.25">
      <c r="A114" s="15" t="s">
        <v>143</v>
      </c>
      <c r="B114" s="29">
        <v>200</v>
      </c>
      <c r="C114" s="29">
        <v>200</v>
      </c>
      <c r="D114" s="29">
        <v>200</v>
      </c>
      <c r="E114" s="29">
        <v>200</v>
      </c>
      <c r="F114" s="29">
        <v>200</v>
      </c>
      <c r="G114" s="29">
        <v>200</v>
      </c>
      <c r="H114" s="29">
        <v>200</v>
      </c>
      <c r="I114" s="29">
        <v>200</v>
      </c>
      <c r="J114" s="29">
        <v>200</v>
      </c>
      <c r="K114" s="29">
        <v>200</v>
      </c>
      <c r="L114" s="29">
        <v>200</v>
      </c>
      <c r="M114" s="29">
        <v>200</v>
      </c>
      <c r="N114" s="33">
        <f t="shared" si="200"/>
        <v>2400</v>
      </c>
      <c r="O114" s="13"/>
    </row>
    <row r="115" spans="1:15" x14ac:dyDescent="0.25">
      <c r="A115" s="15" t="s">
        <v>169</v>
      </c>
      <c r="B115" s="29">
        <f>SUM(941/100*103)</f>
        <v>969.23</v>
      </c>
      <c r="C115" s="29">
        <f t="shared" ref="C115:M115" si="204">SUM(941/100*103)</f>
        <v>969.23</v>
      </c>
      <c r="D115" s="29">
        <f t="shared" si="204"/>
        <v>969.23</v>
      </c>
      <c r="E115" s="29">
        <f t="shared" si="204"/>
        <v>969.23</v>
      </c>
      <c r="F115" s="29">
        <f t="shared" si="204"/>
        <v>969.23</v>
      </c>
      <c r="G115" s="29">
        <f t="shared" si="204"/>
        <v>969.23</v>
      </c>
      <c r="H115" s="29">
        <f t="shared" si="204"/>
        <v>969.23</v>
      </c>
      <c r="I115" s="29">
        <f t="shared" si="204"/>
        <v>969.23</v>
      </c>
      <c r="J115" s="29">
        <f t="shared" si="204"/>
        <v>969.23</v>
      </c>
      <c r="K115" s="29">
        <f t="shared" si="204"/>
        <v>969.23</v>
      </c>
      <c r="L115" s="29">
        <f t="shared" si="204"/>
        <v>969.23</v>
      </c>
      <c r="M115" s="29">
        <f t="shared" si="204"/>
        <v>969.23</v>
      </c>
      <c r="N115" s="33">
        <f t="shared" si="200"/>
        <v>11630.759999999997</v>
      </c>
      <c r="O115" s="13"/>
    </row>
    <row r="116" spans="1:15" x14ac:dyDescent="0.25">
      <c r="A116" s="7" t="s">
        <v>24</v>
      </c>
      <c r="B116" s="29">
        <f t="shared" ref="B116" si="205">SUM(B108:B115)</f>
        <v>5310.0300000000007</v>
      </c>
      <c r="C116" s="29">
        <f t="shared" ref="C116" si="206">SUM(C108:C115)</f>
        <v>4092.0299999999997</v>
      </c>
      <c r="D116" s="29">
        <f t="shared" ref="D116" si="207">SUM(D108:D115)</f>
        <v>4554.03</v>
      </c>
      <c r="E116" s="29">
        <f t="shared" ref="E116" si="208">SUM(E108:E115)</f>
        <v>5914.83</v>
      </c>
      <c r="F116" s="29">
        <f t="shared" ref="F116" si="209">SUM(F108:F115)</f>
        <v>5914.83</v>
      </c>
      <c r="G116" s="29">
        <f t="shared" ref="G116" si="210">SUM(G108:G115)</f>
        <v>4554.03</v>
      </c>
      <c r="H116" s="29">
        <f t="shared" ref="H116" si="211">SUM(H108:H115)</f>
        <v>4092.0299999999997</v>
      </c>
      <c r="I116" s="29">
        <f t="shared" ref="I116" si="212">SUM(I108:I115)</f>
        <v>3042.03</v>
      </c>
      <c r="J116" s="29">
        <f t="shared" ref="J116" si="213">SUM(J108:J115)</f>
        <v>3495.63</v>
      </c>
      <c r="K116" s="29">
        <f t="shared" ref="K116" si="214">SUM(K108:K115)</f>
        <v>3050.43</v>
      </c>
      <c r="L116" s="29">
        <f t="shared" ref="L116" si="215">SUM(L108:L115)</f>
        <v>3025.23</v>
      </c>
      <c r="M116" s="29">
        <f t="shared" ref="M116" si="216">SUM(M108:M115)</f>
        <v>5180.6299999999992</v>
      </c>
      <c r="N116" s="33">
        <f t="shared" ref="N116" si="217">SUM(N108:N115)</f>
        <v>52225.759999999995</v>
      </c>
      <c r="O116" s="13"/>
    </row>
    <row r="117" spans="1:15" x14ac:dyDescent="0.25">
      <c r="A117" s="11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12"/>
      <c r="O117" s="10"/>
    </row>
    <row r="118" spans="1:15" x14ac:dyDescent="0.25">
      <c r="A118" s="7" t="s">
        <v>203</v>
      </c>
      <c r="B118" s="7" t="s">
        <v>4</v>
      </c>
      <c r="C118" s="7" t="s">
        <v>5</v>
      </c>
      <c r="D118" s="7" t="s">
        <v>6</v>
      </c>
      <c r="E118" s="7" t="s">
        <v>7</v>
      </c>
      <c r="F118" s="7" t="s">
        <v>8</v>
      </c>
      <c r="G118" s="7" t="s">
        <v>9</v>
      </c>
      <c r="H118" s="7" t="s">
        <v>10</v>
      </c>
      <c r="I118" s="7" t="s">
        <v>11</v>
      </c>
      <c r="J118" s="7" t="s">
        <v>12</v>
      </c>
      <c r="K118" s="7" t="s">
        <v>13</v>
      </c>
      <c r="L118" s="7" t="s">
        <v>14</v>
      </c>
      <c r="M118" s="7" t="s">
        <v>15</v>
      </c>
      <c r="N118" s="7" t="s">
        <v>3</v>
      </c>
      <c r="O118" s="8"/>
    </row>
    <row r="119" spans="1:15" x14ac:dyDescent="0.25">
      <c r="A119" s="7" t="s">
        <v>19</v>
      </c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3"/>
      <c r="O119" s="8"/>
    </row>
    <row r="120" spans="1:15" x14ac:dyDescent="0.25">
      <c r="A120" s="8" t="s">
        <v>119</v>
      </c>
      <c r="B120" s="29">
        <f>SUM((30*20)*43)</f>
        <v>25800</v>
      </c>
      <c r="C120" s="29">
        <f>SUM((31*10)*43)</f>
        <v>13330</v>
      </c>
      <c r="D120" s="29">
        <f>SUM((30*14)*43)</f>
        <v>18060</v>
      </c>
      <c r="E120" s="29">
        <f>SUM((31*24)*43)</f>
        <v>31992</v>
      </c>
      <c r="F120" s="29">
        <f>SUM((31*24)*43)</f>
        <v>31992</v>
      </c>
      <c r="G120" s="29">
        <f>SUM((30*14)*43)</f>
        <v>18060</v>
      </c>
      <c r="H120" s="29">
        <f>SUM((31*10)*43)</f>
        <v>13330</v>
      </c>
      <c r="I120" s="29">
        <f>SUM((30*2)*43)</f>
        <v>2580</v>
      </c>
      <c r="J120" s="29">
        <f>SUM((7*24)*43)</f>
        <v>7224</v>
      </c>
      <c r="K120" s="29">
        <f>SUM((31*2)*43)</f>
        <v>2666</v>
      </c>
      <c r="L120" s="29">
        <f>SUM((28*2)*43)</f>
        <v>2408</v>
      </c>
      <c r="M120" s="29">
        <f>SUM((31*3)*43)</f>
        <v>3999</v>
      </c>
      <c r="N120" s="33">
        <f>SUM(B120:M120)</f>
        <v>171441</v>
      </c>
      <c r="O120" s="8"/>
    </row>
    <row r="121" spans="1:15" x14ac:dyDescent="0.25">
      <c r="A121" s="8"/>
      <c r="B121" s="29">
        <v>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29">
        <v>0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33">
        <f>SUM(B121:M121)</f>
        <v>0</v>
      </c>
      <c r="O121" s="13"/>
    </row>
    <row r="122" spans="1:15" x14ac:dyDescent="0.25">
      <c r="A122" s="7" t="s">
        <v>22</v>
      </c>
      <c r="B122" s="29">
        <f t="shared" ref="B122" si="218">SUM(B120:B121)</f>
        <v>25800</v>
      </c>
      <c r="C122" s="29">
        <f t="shared" ref="C122" si="219">SUM(C120:C121)</f>
        <v>13330</v>
      </c>
      <c r="D122" s="29">
        <f t="shared" ref="D122" si="220">SUM(D120:D121)</f>
        <v>18060</v>
      </c>
      <c r="E122" s="29">
        <f t="shared" ref="E122" si="221">SUM(E120:E121)</f>
        <v>31992</v>
      </c>
      <c r="F122" s="29">
        <f t="shared" ref="F122" si="222">SUM(F120:F121)</f>
        <v>31992</v>
      </c>
      <c r="G122" s="29">
        <f t="shared" ref="G122" si="223">SUM(G120:G121)</f>
        <v>18060</v>
      </c>
      <c r="H122" s="29">
        <f t="shared" ref="H122" si="224">SUM(H120:H121)</f>
        <v>13330</v>
      </c>
      <c r="I122" s="29">
        <f t="shared" ref="I122" si="225">SUM(I120:I121)</f>
        <v>2580</v>
      </c>
      <c r="J122" s="29">
        <f t="shared" ref="J122" si="226">SUM(J120:J121)</f>
        <v>7224</v>
      </c>
      <c r="K122" s="29">
        <f t="shared" ref="K122" si="227">SUM(K120:K121)</f>
        <v>2666</v>
      </c>
      <c r="L122" s="29">
        <f t="shared" ref="L122" si="228">SUM(L120:L121)</f>
        <v>2408</v>
      </c>
      <c r="M122" s="29">
        <f t="shared" ref="M122" si="229">SUM(M120:M121)</f>
        <v>3999</v>
      </c>
      <c r="N122" s="33">
        <f t="shared" ref="N122" si="230">SUM(N120:N121)</f>
        <v>171441</v>
      </c>
      <c r="O122" s="13"/>
    </row>
    <row r="123" spans="1:15" x14ac:dyDescent="0.25">
      <c r="A123" s="7" t="s">
        <v>1</v>
      </c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33"/>
      <c r="O123" s="13"/>
    </row>
    <row r="124" spans="1:15" x14ac:dyDescent="0.25">
      <c r="A124" s="8" t="s">
        <v>120</v>
      </c>
      <c r="B124" s="29">
        <f>SUM(185/100*103)</f>
        <v>190.55</v>
      </c>
      <c r="C124" s="29">
        <f t="shared" ref="C124:M124" si="231">SUM(185/100*103)</f>
        <v>190.55</v>
      </c>
      <c r="D124" s="29">
        <f t="shared" si="231"/>
        <v>190.55</v>
      </c>
      <c r="E124" s="29">
        <f t="shared" si="231"/>
        <v>190.55</v>
      </c>
      <c r="F124" s="29">
        <f t="shared" si="231"/>
        <v>190.55</v>
      </c>
      <c r="G124" s="29">
        <f t="shared" si="231"/>
        <v>190.55</v>
      </c>
      <c r="H124" s="29">
        <f t="shared" si="231"/>
        <v>190.55</v>
      </c>
      <c r="I124" s="29">
        <f t="shared" si="231"/>
        <v>190.55</v>
      </c>
      <c r="J124" s="29">
        <f t="shared" si="231"/>
        <v>190.55</v>
      </c>
      <c r="K124" s="29">
        <f t="shared" si="231"/>
        <v>190.55</v>
      </c>
      <c r="L124" s="29">
        <f t="shared" si="231"/>
        <v>190.55</v>
      </c>
      <c r="M124" s="29">
        <f t="shared" si="231"/>
        <v>190.55</v>
      </c>
      <c r="N124" s="33">
        <f>SUM(B124:M124)</f>
        <v>2286.6</v>
      </c>
      <c r="O124" s="13"/>
    </row>
    <row r="125" spans="1:15" x14ac:dyDescent="0.25">
      <c r="A125" s="15" t="s">
        <v>121</v>
      </c>
      <c r="B125" s="29">
        <f>SUM(B124/3)</f>
        <v>63.516666666666673</v>
      </c>
      <c r="C125" s="29">
        <f t="shared" ref="C125" si="232">SUM(C124/3)</f>
        <v>63.516666666666673</v>
      </c>
      <c r="D125" s="29">
        <f t="shared" ref="D125" si="233">SUM(D124/3)</f>
        <v>63.516666666666673</v>
      </c>
      <c r="E125" s="29">
        <f t="shared" ref="E125" si="234">SUM(E124/3)</f>
        <v>63.516666666666673</v>
      </c>
      <c r="F125" s="29">
        <f t="shared" ref="F125" si="235">SUM(F124/3)</f>
        <v>63.516666666666673</v>
      </c>
      <c r="G125" s="29">
        <f t="shared" ref="G125" si="236">SUM(G124/3)</f>
        <v>63.516666666666673</v>
      </c>
      <c r="H125" s="29">
        <f t="shared" ref="H125" si="237">SUM(H124/3)</f>
        <v>63.516666666666673</v>
      </c>
      <c r="I125" s="29">
        <f t="shared" ref="I125" si="238">SUM(I124/3)</f>
        <v>63.516666666666673</v>
      </c>
      <c r="J125" s="29">
        <f t="shared" ref="J125" si="239">SUM(J124/3)</f>
        <v>63.516666666666673</v>
      </c>
      <c r="K125" s="29">
        <f t="shared" ref="K125" si="240">SUM(K124/3)</f>
        <v>63.516666666666673</v>
      </c>
      <c r="L125" s="29">
        <f t="shared" ref="L125" si="241">SUM(L124/3)</f>
        <v>63.516666666666673</v>
      </c>
      <c r="M125" s="29">
        <f t="shared" ref="M125" si="242">SUM(M124/3)</f>
        <v>63.516666666666673</v>
      </c>
      <c r="N125" s="33">
        <f t="shared" ref="N125:N131" si="243">SUM(B125:M125)</f>
        <v>762.19999999999993</v>
      </c>
      <c r="O125" s="13"/>
    </row>
    <row r="126" spans="1:15" x14ac:dyDescent="0.25">
      <c r="A126" s="15" t="s">
        <v>122</v>
      </c>
      <c r="B126" s="29">
        <f t="shared" ref="B126:D126" si="244">SUM(B120/10)</f>
        <v>2580</v>
      </c>
      <c r="C126" s="29">
        <f t="shared" si="244"/>
        <v>1333</v>
      </c>
      <c r="D126" s="29">
        <f t="shared" si="244"/>
        <v>1806</v>
      </c>
      <c r="E126" s="29">
        <f>SUM(E120/10)</f>
        <v>3199.2</v>
      </c>
      <c r="F126" s="29">
        <f t="shared" ref="F126:M126" si="245">SUM(F120/10)</f>
        <v>3199.2</v>
      </c>
      <c r="G126" s="29">
        <f t="shared" si="245"/>
        <v>1806</v>
      </c>
      <c r="H126" s="29">
        <f t="shared" si="245"/>
        <v>1333</v>
      </c>
      <c r="I126" s="29">
        <f t="shared" si="245"/>
        <v>258</v>
      </c>
      <c r="J126" s="29">
        <f t="shared" si="245"/>
        <v>722.4</v>
      </c>
      <c r="K126" s="29">
        <f t="shared" si="245"/>
        <v>266.60000000000002</v>
      </c>
      <c r="L126" s="29">
        <f t="shared" si="245"/>
        <v>240.8</v>
      </c>
      <c r="M126" s="29">
        <f t="shared" si="245"/>
        <v>399.9</v>
      </c>
      <c r="N126" s="33">
        <f t="shared" si="243"/>
        <v>17144.100000000002</v>
      </c>
      <c r="O126" s="13"/>
    </row>
    <row r="127" spans="1:15" x14ac:dyDescent="0.25">
      <c r="A127" s="15" t="s">
        <v>141</v>
      </c>
      <c r="B127" s="29">
        <v>1275</v>
      </c>
      <c r="C127" s="29">
        <v>1275</v>
      </c>
      <c r="D127" s="29">
        <v>1275</v>
      </c>
      <c r="E127" s="29">
        <v>1275</v>
      </c>
      <c r="F127" s="29">
        <v>1275</v>
      </c>
      <c r="G127" s="29">
        <v>1275</v>
      </c>
      <c r="H127" s="29">
        <v>1275</v>
      </c>
      <c r="I127" s="29">
        <v>1275</v>
      </c>
      <c r="J127" s="29">
        <v>1275</v>
      </c>
      <c r="K127" s="29">
        <v>1275</v>
      </c>
      <c r="L127" s="29">
        <v>1275</v>
      </c>
      <c r="M127" s="29">
        <v>1275</v>
      </c>
      <c r="N127" s="33">
        <f t="shared" si="243"/>
        <v>15300</v>
      </c>
      <c r="O127" s="13"/>
    </row>
    <row r="128" spans="1:15" x14ac:dyDescent="0.25">
      <c r="A128" s="15" t="s">
        <v>66</v>
      </c>
      <c r="B128" s="29">
        <f>SUM(B125*2)</f>
        <v>127.03333333333335</v>
      </c>
      <c r="C128" s="29">
        <f t="shared" ref="C128:M128" si="246">SUM(C125*2)</f>
        <v>127.03333333333335</v>
      </c>
      <c r="D128" s="29">
        <f t="shared" si="246"/>
        <v>127.03333333333335</v>
      </c>
      <c r="E128" s="29">
        <f t="shared" si="246"/>
        <v>127.03333333333335</v>
      </c>
      <c r="F128" s="29">
        <f t="shared" si="246"/>
        <v>127.03333333333335</v>
      </c>
      <c r="G128" s="29">
        <f t="shared" si="246"/>
        <v>127.03333333333335</v>
      </c>
      <c r="H128" s="29">
        <f t="shared" si="246"/>
        <v>127.03333333333335</v>
      </c>
      <c r="I128" s="29">
        <f t="shared" si="246"/>
        <v>127.03333333333335</v>
      </c>
      <c r="J128" s="29">
        <f t="shared" si="246"/>
        <v>127.03333333333335</v>
      </c>
      <c r="K128" s="29">
        <f t="shared" si="246"/>
        <v>127.03333333333335</v>
      </c>
      <c r="L128" s="29">
        <f t="shared" si="246"/>
        <v>127.03333333333335</v>
      </c>
      <c r="M128" s="29">
        <f t="shared" si="246"/>
        <v>127.03333333333335</v>
      </c>
      <c r="N128" s="33">
        <f t="shared" si="243"/>
        <v>1524.3999999999999</v>
      </c>
      <c r="O128" s="13"/>
    </row>
    <row r="129" spans="1:15" x14ac:dyDescent="0.25">
      <c r="A129" s="15" t="s">
        <v>142</v>
      </c>
      <c r="B129" s="29">
        <v>0</v>
      </c>
      <c r="C129" s="29">
        <v>0</v>
      </c>
      <c r="D129" s="29">
        <v>0</v>
      </c>
      <c r="E129" s="29">
        <v>0</v>
      </c>
      <c r="F129" s="29">
        <v>0</v>
      </c>
      <c r="G129" s="29">
        <v>0</v>
      </c>
      <c r="H129" s="29">
        <v>0</v>
      </c>
      <c r="I129" s="29">
        <v>0</v>
      </c>
      <c r="J129" s="29">
        <v>0</v>
      </c>
      <c r="K129" s="29">
        <v>0</v>
      </c>
      <c r="L129" s="29">
        <v>0</v>
      </c>
      <c r="M129" s="29">
        <v>2000</v>
      </c>
      <c r="N129" s="33">
        <f t="shared" si="243"/>
        <v>2000</v>
      </c>
      <c r="O129" s="13"/>
    </row>
    <row r="130" spans="1:15" x14ac:dyDescent="0.25">
      <c r="A130" s="15" t="s">
        <v>143</v>
      </c>
      <c r="B130" s="29">
        <v>210</v>
      </c>
      <c r="C130" s="29">
        <v>210</v>
      </c>
      <c r="D130" s="29">
        <v>210</v>
      </c>
      <c r="E130" s="29">
        <v>210</v>
      </c>
      <c r="F130" s="29">
        <v>210</v>
      </c>
      <c r="G130" s="29">
        <v>210</v>
      </c>
      <c r="H130" s="29">
        <v>210</v>
      </c>
      <c r="I130" s="29">
        <v>210</v>
      </c>
      <c r="J130" s="29">
        <v>210</v>
      </c>
      <c r="K130" s="29">
        <v>210</v>
      </c>
      <c r="L130" s="29">
        <v>210</v>
      </c>
      <c r="M130" s="29">
        <v>210</v>
      </c>
      <c r="N130" s="33">
        <f t="shared" si="243"/>
        <v>2520</v>
      </c>
      <c r="O130" s="13"/>
    </row>
    <row r="131" spans="1:15" x14ac:dyDescent="0.25">
      <c r="A131" s="15" t="s">
        <v>169</v>
      </c>
      <c r="B131" s="29">
        <f>SUM(969/100*103)</f>
        <v>998.06999999999994</v>
      </c>
      <c r="C131" s="29">
        <f t="shared" ref="C131:M131" si="247">SUM(969/100*103)</f>
        <v>998.06999999999994</v>
      </c>
      <c r="D131" s="29">
        <f t="shared" si="247"/>
        <v>998.06999999999994</v>
      </c>
      <c r="E131" s="29">
        <f t="shared" si="247"/>
        <v>998.06999999999994</v>
      </c>
      <c r="F131" s="29">
        <f t="shared" si="247"/>
        <v>998.06999999999994</v>
      </c>
      <c r="G131" s="29">
        <f t="shared" si="247"/>
        <v>998.06999999999994</v>
      </c>
      <c r="H131" s="29">
        <f t="shared" si="247"/>
        <v>998.06999999999994</v>
      </c>
      <c r="I131" s="29">
        <f t="shared" si="247"/>
        <v>998.06999999999994</v>
      </c>
      <c r="J131" s="29">
        <f t="shared" si="247"/>
        <v>998.06999999999994</v>
      </c>
      <c r="K131" s="29">
        <f t="shared" si="247"/>
        <v>998.06999999999994</v>
      </c>
      <c r="L131" s="29">
        <f t="shared" si="247"/>
        <v>998.06999999999994</v>
      </c>
      <c r="M131" s="29">
        <f t="shared" si="247"/>
        <v>998.06999999999994</v>
      </c>
      <c r="N131" s="33">
        <f t="shared" si="243"/>
        <v>11976.839999999998</v>
      </c>
      <c r="O131" s="13"/>
    </row>
    <row r="132" spans="1:15" x14ac:dyDescent="0.25">
      <c r="A132" s="7" t="s">
        <v>24</v>
      </c>
      <c r="B132" s="29">
        <f t="shared" ref="B132" si="248">SUM(B124:B131)</f>
        <v>5444.17</v>
      </c>
      <c r="C132" s="29">
        <f t="shared" ref="C132" si="249">SUM(C124:C131)</f>
        <v>4197.17</v>
      </c>
      <c r="D132" s="29">
        <f t="shared" ref="D132" si="250">SUM(D124:D131)</f>
        <v>4670.17</v>
      </c>
      <c r="E132" s="29">
        <f t="shared" ref="E132" si="251">SUM(E124:E131)</f>
        <v>6063.37</v>
      </c>
      <c r="F132" s="29">
        <f t="shared" ref="F132" si="252">SUM(F124:F131)</f>
        <v>6063.37</v>
      </c>
      <c r="G132" s="29">
        <f t="shared" ref="G132" si="253">SUM(G124:G131)</f>
        <v>4670.17</v>
      </c>
      <c r="H132" s="29">
        <f t="shared" ref="H132" si="254">SUM(H124:H131)</f>
        <v>4197.17</v>
      </c>
      <c r="I132" s="29">
        <f t="shared" ref="I132" si="255">SUM(I124:I131)</f>
        <v>3122.17</v>
      </c>
      <c r="J132" s="29">
        <f t="shared" ref="J132" si="256">SUM(J124:J131)</f>
        <v>3586.5699999999997</v>
      </c>
      <c r="K132" s="29">
        <f t="shared" ref="K132" si="257">SUM(K124:K131)</f>
        <v>3130.7699999999995</v>
      </c>
      <c r="L132" s="29">
        <f t="shared" ref="L132" si="258">SUM(L124:L131)</f>
        <v>3104.9700000000003</v>
      </c>
      <c r="M132" s="29">
        <f t="shared" ref="M132" si="259">SUM(M124:M131)</f>
        <v>5264.07</v>
      </c>
      <c r="N132" s="33">
        <f t="shared" ref="N132" si="260">SUM(N124:N131)</f>
        <v>53514.14</v>
      </c>
      <c r="O132" s="13"/>
    </row>
    <row r="133" spans="1:15" x14ac:dyDescent="0.25">
      <c r="A133" s="11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12"/>
      <c r="O133" s="10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8" workbookViewId="0">
      <selection activeCell="G21" sqref="G21"/>
    </sheetView>
  </sheetViews>
  <sheetFormatPr defaultColWidth="8.7109375" defaultRowHeight="15" x14ac:dyDescent="0.25"/>
  <cols>
    <col min="1" max="1" width="17.7109375" style="14" customWidth="1"/>
    <col min="2" max="2" width="17.5703125" style="14" customWidth="1"/>
    <col min="3" max="3" width="16.28515625" style="14" customWidth="1"/>
    <col min="4" max="4" width="13.7109375" style="14" customWidth="1"/>
    <col min="5" max="16384" width="8.7109375" style="14"/>
  </cols>
  <sheetData>
    <row r="1" spans="1:3" x14ac:dyDescent="0.25">
      <c r="A1" s="2" t="s">
        <v>98</v>
      </c>
      <c r="B1" s="15"/>
      <c r="C1" s="20"/>
    </row>
    <row r="2" spans="1:3" x14ac:dyDescent="0.25">
      <c r="A2" s="15" t="s">
        <v>47</v>
      </c>
      <c r="B2" s="15" t="s">
        <v>49</v>
      </c>
    </row>
    <row r="3" spans="1:3" x14ac:dyDescent="0.25">
      <c r="A3" s="15" t="s">
        <v>58</v>
      </c>
      <c r="B3" s="36">
        <v>1500</v>
      </c>
    </row>
    <row r="4" spans="1:3" x14ac:dyDescent="0.25">
      <c r="A4" s="15" t="s">
        <v>59</v>
      </c>
      <c r="B4" s="36">
        <v>1000</v>
      </c>
    </row>
    <row r="5" spans="1:3" x14ac:dyDescent="0.25">
      <c r="A5" s="15" t="s">
        <v>60</v>
      </c>
      <c r="B5" s="36">
        <v>2000</v>
      </c>
    </row>
    <row r="6" spans="1:3" x14ac:dyDescent="0.25">
      <c r="A6" s="15" t="s">
        <v>61</v>
      </c>
      <c r="B6" s="36">
        <v>500</v>
      </c>
    </row>
    <row r="7" spans="1:3" x14ac:dyDescent="0.25">
      <c r="A7" s="15" t="s">
        <v>48</v>
      </c>
      <c r="B7" s="36">
        <v>3000</v>
      </c>
    </row>
    <row r="8" spans="1:3" x14ac:dyDescent="0.25">
      <c r="A8" s="15" t="s">
        <v>62</v>
      </c>
      <c r="B8" s="36">
        <v>3200</v>
      </c>
    </row>
    <row r="9" spans="1:3" x14ac:dyDescent="0.25">
      <c r="A9" s="15" t="s">
        <v>63</v>
      </c>
      <c r="B9" s="36">
        <v>3100</v>
      </c>
    </row>
    <row r="10" spans="1:3" x14ac:dyDescent="0.25">
      <c r="A10" s="15" t="s">
        <v>30</v>
      </c>
      <c r="B10" s="36">
        <v>1200</v>
      </c>
    </row>
    <row r="11" spans="1:3" x14ac:dyDescent="0.25">
      <c r="A11" s="15" t="s">
        <v>31</v>
      </c>
      <c r="B11" s="36">
        <v>2400</v>
      </c>
    </row>
    <row r="12" spans="1:3" x14ac:dyDescent="0.25">
      <c r="A12" s="15" t="s">
        <v>66</v>
      </c>
      <c r="B12" s="36">
        <v>1500</v>
      </c>
    </row>
    <row r="13" spans="1:3" x14ac:dyDescent="0.25">
      <c r="A13" s="15" t="s">
        <v>67</v>
      </c>
      <c r="B13" s="36">
        <v>6000</v>
      </c>
    </row>
    <row r="14" spans="1:3" x14ac:dyDescent="0.25">
      <c r="A14" s="15" t="s">
        <v>33</v>
      </c>
      <c r="B14" s="36">
        <v>1500</v>
      </c>
    </row>
    <row r="15" spans="1:3" x14ac:dyDescent="0.25">
      <c r="A15" s="15" t="s">
        <v>69</v>
      </c>
      <c r="B15" s="36">
        <v>1800</v>
      </c>
    </row>
    <row r="16" spans="1:3" x14ac:dyDescent="0.25">
      <c r="A16" s="15" t="s">
        <v>3</v>
      </c>
      <c r="B16" s="2">
        <f>SUM(B4:B15)</f>
        <v>27200</v>
      </c>
    </row>
    <row r="17" spans="1:7" x14ac:dyDescent="0.25">
      <c r="A17" s="20"/>
      <c r="B17" s="20"/>
      <c r="C17" s="20"/>
    </row>
    <row r="18" spans="1:7" x14ac:dyDescent="0.25">
      <c r="A18" s="20" t="s">
        <v>75</v>
      </c>
    </row>
    <row r="19" spans="1:7" x14ac:dyDescent="0.25">
      <c r="A19" s="15" t="s">
        <v>76</v>
      </c>
      <c r="B19" s="14">
        <v>850</v>
      </c>
      <c r="C19" s="14" t="s">
        <v>77</v>
      </c>
      <c r="D19" s="14" t="s">
        <v>171</v>
      </c>
      <c r="E19" s="14" t="s">
        <v>50</v>
      </c>
    </row>
    <row r="20" spans="1:7" x14ac:dyDescent="0.25">
      <c r="A20" s="15" t="s">
        <v>103</v>
      </c>
      <c r="B20" s="14">
        <v>150</v>
      </c>
      <c r="C20" s="40">
        <f>SUM(B20/8.5)</f>
        <v>17.647058823529413</v>
      </c>
      <c r="D20" s="14">
        <f>SUM(B16/100*C20)</f>
        <v>4800</v>
      </c>
      <c r="E20" s="16">
        <f>SUM(D20/12)</f>
        <v>400</v>
      </c>
      <c r="F20" s="16">
        <f>SUM(E20+E21)</f>
        <v>666.66666666666674</v>
      </c>
      <c r="G20" s="14" t="s">
        <v>216</v>
      </c>
    </row>
    <row r="21" spans="1:7" x14ac:dyDescent="0.25">
      <c r="A21" s="15" t="s">
        <v>20</v>
      </c>
      <c r="B21" s="14">
        <v>100</v>
      </c>
      <c r="C21" s="40">
        <f>SUM(B21/8.5)</f>
        <v>11.764705882352942</v>
      </c>
      <c r="D21" s="14">
        <f>SUM(B16/100*C21)</f>
        <v>3200</v>
      </c>
      <c r="E21" s="16">
        <f>SUM(D21/12)</f>
        <v>266.66666666666669</v>
      </c>
    </row>
    <row r="22" spans="1:7" x14ac:dyDescent="0.25">
      <c r="A22" s="15" t="s">
        <v>78</v>
      </c>
      <c r="D22" s="14">
        <f>SUM(D20:D21)</f>
        <v>8000</v>
      </c>
    </row>
    <row r="23" spans="1:7" x14ac:dyDescent="0.25">
      <c r="A23" s="15" t="s">
        <v>79</v>
      </c>
      <c r="D23" s="16">
        <f>SUM(D22/12)</f>
        <v>666.66666666666663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"/>
  <sheetViews>
    <sheetView workbookViewId="0">
      <selection activeCell="D8" sqref="D8"/>
    </sheetView>
  </sheetViews>
  <sheetFormatPr defaultRowHeight="15" x14ac:dyDescent="0.25"/>
  <cols>
    <col min="1" max="1" width="22.7109375" customWidth="1"/>
    <col min="2" max="4" width="9.7109375" customWidth="1"/>
    <col min="5" max="5" width="10.7109375" customWidth="1"/>
    <col min="6" max="6" width="56" customWidth="1"/>
    <col min="7" max="7" width="1.7109375" customWidth="1"/>
  </cols>
  <sheetData>
    <row r="1" spans="1:7" x14ac:dyDescent="0.25">
      <c r="A1" s="2" t="s">
        <v>70</v>
      </c>
      <c r="B1" s="2"/>
      <c r="C1" s="2"/>
      <c r="D1" s="2"/>
      <c r="E1" s="2"/>
      <c r="F1" s="3"/>
      <c r="G1" s="3"/>
    </row>
    <row r="2" spans="1:7" x14ac:dyDescent="0.25">
      <c r="A2" s="2" t="s">
        <v>51</v>
      </c>
      <c r="B2" s="2" t="s">
        <v>53</v>
      </c>
      <c r="C2" s="2" t="s">
        <v>54</v>
      </c>
      <c r="D2" s="2" t="s">
        <v>138</v>
      </c>
      <c r="E2" s="4" t="s">
        <v>36</v>
      </c>
      <c r="F2" s="2" t="s">
        <v>52</v>
      </c>
      <c r="G2" s="3"/>
    </row>
    <row r="3" spans="1:7" x14ac:dyDescent="0.25">
      <c r="A3" s="3" t="s">
        <v>136</v>
      </c>
      <c r="B3" s="27">
        <v>18000</v>
      </c>
      <c r="C3" s="27">
        <v>0</v>
      </c>
      <c r="D3" s="27">
        <v>0</v>
      </c>
      <c r="E3" s="27">
        <v>0</v>
      </c>
      <c r="F3" s="36" t="s">
        <v>145</v>
      </c>
      <c r="G3" s="3"/>
    </row>
    <row r="4" spans="1:7" x14ac:dyDescent="0.25">
      <c r="A4" s="3" t="s">
        <v>137</v>
      </c>
      <c r="B4" s="27">
        <f>SUM(3511860/18)*3</f>
        <v>585310</v>
      </c>
      <c r="C4" s="27">
        <f>SUM(3511860/18)*12</f>
        <v>2341240</v>
      </c>
      <c r="D4" s="27">
        <f>SUM(3511860/18)*3</f>
        <v>585310</v>
      </c>
      <c r="E4" s="27">
        <v>0</v>
      </c>
      <c r="F4" s="36" t="s">
        <v>151</v>
      </c>
      <c r="G4" s="3"/>
    </row>
    <row r="5" spans="1:7" x14ac:dyDescent="0.25">
      <c r="A5" s="3" t="s">
        <v>139</v>
      </c>
      <c r="B5" s="27">
        <v>0</v>
      </c>
      <c r="C5" s="27">
        <v>0</v>
      </c>
      <c r="D5" s="27">
        <v>100000</v>
      </c>
      <c r="E5" s="27">
        <v>0</v>
      </c>
      <c r="F5" s="36" t="s">
        <v>217</v>
      </c>
      <c r="G5" s="3"/>
    </row>
    <row r="6" spans="1:7" x14ac:dyDescent="0.25">
      <c r="A6" s="2" t="s">
        <v>140</v>
      </c>
      <c r="B6" s="18">
        <f>SUM(B3:B5)</f>
        <v>603310</v>
      </c>
      <c r="C6" s="18">
        <f>SUM(C3:C5)</f>
        <v>2341240</v>
      </c>
      <c r="D6" s="18">
        <f>SUM(D3:D5)</f>
        <v>685310</v>
      </c>
      <c r="E6" s="18">
        <f>SUM(E3:E5)</f>
        <v>0</v>
      </c>
      <c r="F6" s="3"/>
      <c r="G6" s="3"/>
    </row>
    <row r="8" spans="1:7" x14ac:dyDescent="0.25">
      <c r="A8" s="50" t="s">
        <v>258</v>
      </c>
    </row>
    <row r="9" spans="1:7" x14ac:dyDescent="0.25">
      <c r="A9" s="39" t="s">
        <v>259</v>
      </c>
    </row>
    <row r="10" spans="1:7" x14ac:dyDescent="0.25">
      <c r="A10" t="s">
        <v>260</v>
      </c>
    </row>
    <row r="11" spans="1:7" x14ac:dyDescent="0.25">
      <c r="A11" t="s">
        <v>261</v>
      </c>
    </row>
    <row r="12" spans="1:7" x14ac:dyDescent="0.25">
      <c r="A12" t="s">
        <v>262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6" zoomScale="97" zoomScaleNormal="97" workbookViewId="0">
      <selection activeCell="N18" sqref="N18"/>
    </sheetView>
  </sheetViews>
  <sheetFormatPr defaultColWidth="9.28515625" defaultRowHeight="15" x14ac:dyDescent="0.25"/>
  <cols>
    <col min="1" max="1" width="27" style="5" customWidth="1"/>
    <col min="2" max="2" width="11.140625" style="5" customWidth="1"/>
    <col min="3" max="3" width="10.28515625" style="5" bestFit="1" customWidth="1"/>
    <col min="4" max="14" width="9.28515625" style="5" customWidth="1"/>
    <col min="15" max="15" width="3.5703125" style="5" customWidth="1"/>
    <col min="16" max="16" width="15.28515625" style="5" customWidth="1"/>
    <col min="17" max="16384" width="9.28515625" style="5"/>
  </cols>
  <sheetData>
    <row r="1" spans="1:16" x14ac:dyDescent="0.25">
      <c r="A1" s="7" t="s">
        <v>82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x14ac:dyDescent="0.25">
      <c r="A2" s="7"/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3</v>
      </c>
      <c r="O2" s="8"/>
    </row>
    <row r="3" spans="1:16" x14ac:dyDescent="0.25">
      <c r="A3" s="9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3"/>
      <c r="O3" s="13"/>
    </row>
    <row r="4" spans="1:16" x14ac:dyDescent="0.25">
      <c r="A4" s="7" t="s">
        <v>17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3"/>
      <c r="O4" s="13"/>
    </row>
    <row r="5" spans="1:16" ht="15.75" thickBot="1" x14ac:dyDescent="0.3">
      <c r="A5" s="8" t="s">
        <v>71</v>
      </c>
      <c r="B5" s="32">
        <v>0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29">
        <f>SUM(3511860/18)</f>
        <v>195103.33333333334</v>
      </c>
      <c r="L5" s="29">
        <f t="shared" ref="L5:M5" si="0">SUM(3511860/18)</f>
        <v>195103.33333333334</v>
      </c>
      <c r="M5" s="29">
        <f t="shared" si="0"/>
        <v>195103.33333333334</v>
      </c>
      <c r="N5" s="33">
        <f t="shared" ref="N5:N6" si="1">SUM(B5:M5)</f>
        <v>585310</v>
      </c>
      <c r="O5" s="8"/>
    </row>
    <row r="6" spans="1:16" x14ac:dyDescent="0.25">
      <c r="A6" s="28" t="s">
        <v>73</v>
      </c>
      <c r="B6" s="29">
        <v>0</v>
      </c>
      <c r="C6" s="29">
        <f>Grants!$B$3</f>
        <v>18000</v>
      </c>
      <c r="D6" s="29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3">
        <f t="shared" si="1"/>
        <v>18000</v>
      </c>
      <c r="O6" s="8"/>
    </row>
    <row r="7" spans="1:16" x14ac:dyDescent="0.25">
      <c r="A7" s="7" t="s">
        <v>18</v>
      </c>
      <c r="B7" s="29">
        <f t="shared" ref="B7:N7" si="2">SUM(B5:B6)</f>
        <v>0</v>
      </c>
      <c r="C7" s="29">
        <f t="shared" si="2"/>
        <v>18000</v>
      </c>
      <c r="D7" s="29">
        <f t="shared" si="2"/>
        <v>0</v>
      </c>
      <c r="E7" s="29">
        <f t="shared" si="2"/>
        <v>0</v>
      </c>
      <c r="F7" s="29">
        <f t="shared" si="2"/>
        <v>0</v>
      </c>
      <c r="G7" s="29">
        <f t="shared" si="2"/>
        <v>0</v>
      </c>
      <c r="H7" s="29">
        <f t="shared" si="2"/>
        <v>0</v>
      </c>
      <c r="I7" s="29">
        <f t="shared" si="2"/>
        <v>0</v>
      </c>
      <c r="J7" s="29">
        <f t="shared" si="2"/>
        <v>0</v>
      </c>
      <c r="K7" s="29">
        <f t="shared" si="2"/>
        <v>195103.33333333334</v>
      </c>
      <c r="L7" s="29">
        <f t="shared" si="2"/>
        <v>195103.33333333334</v>
      </c>
      <c r="M7" s="29">
        <f t="shared" si="2"/>
        <v>195103.33333333334</v>
      </c>
      <c r="N7" s="33">
        <f t="shared" si="2"/>
        <v>603310</v>
      </c>
      <c r="O7" s="8"/>
      <c r="P7" s="6"/>
    </row>
    <row r="8" spans="1:16" x14ac:dyDescent="0.25">
      <c r="A8" s="7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3"/>
      <c r="O8" s="8"/>
      <c r="P8" s="6"/>
    </row>
    <row r="9" spans="1:16" x14ac:dyDescent="0.25">
      <c r="A9" s="7" t="s">
        <v>19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3"/>
      <c r="O9" s="8"/>
    </row>
    <row r="10" spans="1:16" x14ac:dyDescent="0.25">
      <c r="A10" s="8" t="s">
        <v>144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3">
        <f>SUM(B10:M10)</f>
        <v>0</v>
      </c>
      <c r="O10" s="8"/>
    </row>
    <row r="11" spans="1:16" x14ac:dyDescent="0.25">
      <c r="A11" s="15" t="s">
        <v>99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3">
        <f>SUM(B11:M11)</f>
        <v>0</v>
      </c>
      <c r="O11" s="8"/>
    </row>
    <row r="12" spans="1:16" x14ac:dyDescent="0.25">
      <c r="A12" s="15" t="s">
        <v>100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3">
        <f t="shared" ref="N12:N16" si="3">SUM(B12:M12)</f>
        <v>0</v>
      </c>
      <c r="O12" s="8"/>
    </row>
    <row r="13" spans="1:16" x14ac:dyDescent="0.25">
      <c r="A13" s="15" t="s">
        <v>101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3">
        <f t="shared" si="3"/>
        <v>0</v>
      </c>
      <c r="O13" s="8"/>
    </row>
    <row r="14" spans="1:16" x14ac:dyDescent="0.25">
      <c r="A14" s="15" t="s">
        <v>102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3">
        <f t="shared" si="3"/>
        <v>0</v>
      </c>
      <c r="O14" s="8"/>
    </row>
    <row r="15" spans="1:16" x14ac:dyDescent="0.25">
      <c r="A15" s="15" t="s">
        <v>154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3">
        <f t="shared" si="3"/>
        <v>0</v>
      </c>
      <c r="O15" s="8"/>
    </row>
    <row r="16" spans="1:16" x14ac:dyDescent="0.25">
      <c r="A16" s="8" t="s">
        <v>80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3">
        <f t="shared" si="3"/>
        <v>0</v>
      </c>
      <c r="O16" s="13"/>
    </row>
    <row r="17" spans="1:15" x14ac:dyDescent="0.25">
      <c r="A17" s="8" t="s">
        <v>21</v>
      </c>
      <c r="B17" s="31">
        <f t="shared" ref="B17:M17" si="4">SUM(B10:B16)</f>
        <v>0</v>
      </c>
      <c r="C17" s="31">
        <f t="shared" si="4"/>
        <v>0</v>
      </c>
      <c r="D17" s="31">
        <f t="shared" si="4"/>
        <v>0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0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33">
        <f>SUM(B17:M17)</f>
        <v>0</v>
      </c>
      <c r="O17" s="13"/>
    </row>
    <row r="18" spans="1:15" x14ac:dyDescent="0.25">
      <c r="A18" s="7" t="s">
        <v>22</v>
      </c>
      <c r="B18" s="29">
        <f>SUM(B7+B17)</f>
        <v>0</v>
      </c>
      <c r="C18" s="29">
        <f t="shared" ref="C18:D18" si="5">SUM(C7+C17)</f>
        <v>18000</v>
      </c>
      <c r="D18" s="29">
        <f t="shared" si="5"/>
        <v>0</v>
      </c>
      <c r="E18" s="29">
        <f t="shared" ref="E18:M18" si="6">SUM(E7+E17)</f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195103.33333333334</v>
      </c>
      <c r="L18" s="29">
        <f t="shared" si="6"/>
        <v>195103.33333333334</v>
      </c>
      <c r="M18" s="29">
        <f t="shared" si="6"/>
        <v>195103.33333333334</v>
      </c>
      <c r="N18" s="33">
        <f>SUM(B18:M18)</f>
        <v>603310</v>
      </c>
      <c r="O18" s="13"/>
    </row>
    <row r="19" spans="1:15" x14ac:dyDescent="0.25">
      <c r="A19" s="7" t="s">
        <v>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3"/>
      <c r="O19" s="13"/>
    </row>
    <row r="20" spans="1:15" x14ac:dyDescent="0.25">
      <c r="A20" s="8" t="s">
        <v>72</v>
      </c>
      <c r="B20" s="32">
        <v>0</v>
      </c>
      <c r="C20" s="29">
        <f>Grants!$B$3</f>
        <v>18000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29">
        <f t="shared" ref="K20:M20" si="7">SUM(3511860/18)</f>
        <v>195103.33333333334</v>
      </c>
      <c r="L20" s="29">
        <f t="shared" si="7"/>
        <v>195103.33333333334</v>
      </c>
      <c r="M20" s="29">
        <f t="shared" si="7"/>
        <v>195103.33333333334</v>
      </c>
      <c r="N20" s="33">
        <f t="shared" ref="N20:N21" si="8">SUM(B20:M20)</f>
        <v>603310</v>
      </c>
      <c r="O20" s="13"/>
    </row>
    <row r="21" spans="1:15" x14ac:dyDescent="0.25">
      <c r="A21" s="8" t="s">
        <v>28</v>
      </c>
      <c r="B21" s="41">
        <v>0</v>
      </c>
      <c r="C21" s="41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33">
        <f t="shared" si="8"/>
        <v>0</v>
      </c>
      <c r="O21" s="13"/>
    </row>
    <row r="22" spans="1:15" x14ac:dyDescent="0.25">
      <c r="A22" s="8" t="s">
        <v>152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33">
        <f>SUM(C22:M22)</f>
        <v>0</v>
      </c>
      <c r="O22" s="13"/>
    </row>
    <row r="23" spans="1:15" x14ac:dyDescent="0.25">
      <c r="A23" s="15" t="s">
        <v>99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3">
        <f t="shared" ref="N23:N28" si="9">SUM(B23:M23)</f>
        <v>0</v>
      </c>
      <c r="O23" s="13"/>
    </row>
    <row r="24" spans="1:15" x14ac:dyDescent="0.25">
      <c r="A24" s="15" t="s">
        <v>102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33">
        <f t="shared" si="9"/>
        <v>0</v>
      </c>
      <c r="O24" s="13"/>
    </row>
    <row r="25" spans="1:15" x14ac:dyDescent="0.25">
      <c r="A25" s="15" t="s">
        <v>20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33">
        <f t="shared" si="9"/>
        <v>0</v>
      </c>
      <c r="O25" s="13"/>
    </row>
    <row r="26" spans="1:15" x14ac:dyDescent="0.25">
      <c r="A26" s="8" t="s">
        <v>153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33">
        <f t="shared" si="9"/>
        <v>0</v>
      </c>
      <c r="O26" s="13"/>
    </row>
    <row r="27" spans="1:15" x14ac:dyDescent="0.25">
      <c r="A27" s="8" t="s">
        <v>173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33">
        <f t="shared" si="9"/>
        <v>0</v>
      </c>
      <c r="O27" s="13"/>
    </row>
    <row r="28" spans="1:15" x14ac:dyDescent="0.25">
      <c r="A28" s="8" t="s">
        <v>21</v>
      </c>
      <c r="B28" s="29">
        <f>SUM(B21:B27)</f>
        <v>0</v>
      </c>
      <c r="C28" s="29">
        <f t="shared" ref="C28:M28" si="10">SUM(C21:C27)</f>
        <v>0</v>
      </c>
      <c r="D28" s="29">
        <f t="shared" si="10"/>
        <v>0</v>
      </c>
      <c r="E28" s="29">
        <f t="shared" si="10"/>
        <v>0</v>
      </c>
      <c r="F28" s="29">
        <f t="shared" si="10"/>
        <v>0</v>
      </c>
      <c r="G28" s="29">
        <f t="shared" si="10"/>
        <v>0</v>
      </c>
      <c r="H28" s="29">
        <f t="shared" si="10"/>
        <v>0</v>
      </c>
      <c r="I28" s="29">
        <f t="shared" si="10"/>
        <v>0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33">
        <f t="shared" si="9"/>
        <v>0</v>
      </c>
      <c r="O28" s="13"/>
    </row>
    <row r="29" spans="1:15" x14ac:dyDescent="0.25">
      <c r="A29" s="7" t="s">
        <v>24</v>
      </c>
      <c r="B29" s="29">
        <f>SUM(B20+B28)</f>
        <v>0</v>
      </c>
      <c r="C29" s="29">
        <f t="shared" ref="C29:M29" si="11">SUM(C20+C28)</f>
        <v>18000</v>
      </c>
      <c r="D29" s="29">
        <f t="shared" si="11"/>
        <v>0</v>
      </c>
      <c r="E29" s="29">
        <f t="shared" si="11"/>
        <v>0</v>
      </c>
      <c r="F29" s="29">
        <f t="shared" si="11"/>
        <v>0</v>
      </c>
      <c r="G29" s="29">
        <f t="shared" si="11"/>
        <v>0</v>
      </c>
      <c r="H29" s="29">
        <f t="shared" si="11"/>
        <v>0</v>
      </c>
      <c r="I29" s="29">
        <f t="shared" si="11"/>
        <v>0</v>
      </c>
      <c r="J29" s="29">
        <f t="shared" si="11"/>
        <v>0</v>
      </c>
      <c r="K29" s="29">
        <f t="shared" si="11"/>
        <v>195103.33333333334</v>
      </c>
      <c r="L29" s="29">
        <f t="shared" si="11"/>
        <v>195103.33333333334</v>
      </c>
      <c r="M29" s="29">
        <f t="shared" si="11"/>
        <v>195103.33333333334</v>
      </c>
      <c r="N29" s="33">
        <f>SUM(B29:M29)</f>
        <v>603310</v>
      </c>
      <c r="O29" s="13"/>
    </row>
    <row r="30" spans="1:15" x14ac:dyDescent="0.25">
      <c r="A30" s="7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4"/>
      <c r="O30" s="13"/>
    </row>
    <row r="31" spans="1:15" x14ac:dyDescent="0.25">
      <c r="A31" s="7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5"/>
      <c r="O31" s="13"/>
    </row>
    <row r="32" spans="1:15" x14ac:dyDescent="0.25">
      <c r="A32" s="7" t="s">
        <v>25</v>
      </c>
      <c r="B32" s="29">
        <f>'YE 2020'!$M$43</f>
        <v>0</v>
      </c>
      <c r="C32" s="29">
        <f t="shared" ref="C32:M32" si="12">SUM(B34)</f>
        <v>0</v>
      </c>
      <c r="D32" s="29">
        <f t="shared" si="12"/>
        <v>0</v>
      </c>
      <c r="E32" s="29">
        <f t="shared" si="12"/>
        <v>0</v>
      </c>
      <c r="F32" s="29">
        <f t="shared" si="12"/>
        <v>0</v>
      </c>
      <c r="G32" s="29">
        <f t="shared" si="12"/>
        <v>0</v>
      </c>
      <c r="H32" s="29">
        <f t="shared" si="12"/>
        <v>0</v>
      </c>
      <c r="I32" s="29">
        <f t="shared" si="12"/>
        <v>0</v>
      </c>
      <c r="J32" s="29">
        <f t="shared" si="12"/>
        <v>0</v>
      </c>
      <c r="K32" s="29">
        <f t="shared" si="12"/>
        <v>0</v>
      </c>
      <c r="L32" s="29">
        <f t="shared" si="12"/>
        <v>0</v>
      </c>
      <c r="M32" s="29">
        <f t="shared" si="12"/>
        <v>0</v>
      </c>
      <c r="N32" s="33"/>
      <c r="O32" s="13"/>
    </row>
    <row r="33" spans="1:15" x14ac:dyDescent="0.25">
      <c r="A33" s="7" t="s">
        <v>26</v>
      </c>
      <c r="B33" s="29">
        <f t="shared" ref="B33:M33" si="13">SUM(B18-B29)</f>
        <v>0</v>
      </c>
      <c r="C33" s="29">
        <f t="shared" si="13"/>
        <v>0</v>
      </c>
      <c r="D33" s="29">
        <f t="shared" si="13"/>
        <v>0</v>
      </c>
      <c r="E33" s="29">
        <f t="shared" si="13"/>
        <v>0</v>
      </c>
      <c r="F33" s="29">
        <f t="shared" si="13"/>
        <v>0</v>
      </c>
      <c r="G33" s="29">
        <f t="shared" si="13"/>
        <v>0</v>
      </c>
      <c r="H33" s="29">
        <f t="shared" si="13"/>
        <v>0</v>
      </c>
      <c r="I33" s="29">
        <f t="shared" si="13"/>
        <v>0</v>
      </c>
      <c r="J33" s="29">
        <f t="shared" si="13"/>
        <v>0</v>
      </c>
      <c r="K33" s="29">
        <f t="shared" si="13"/>
        <v>0</v>
      </c>
      <c r="L33" s="29">
        <f t="shared" si="13"/>
        <v>0</v>
      </c>
      <c r="M33" s="29">
        <f t="shared" si="13"/>
        <v>0</v>
      </c>
      <c r="N33" s="34"/>
      <c r="O33" s="13"/>
    </row>
    <row r="34" spans="1:15" x14ac:dyDescent="0.25">
      <c r="A34" s="7" t="s">
        <v>27</v>
      </c>
      <c r="B34" s="29">
        <f>SUM(B32+B33)</f>
        <v>0</v>
      </c>
      <c r="C34" s="29">
        <f t="shared" ref="C34:M34" si="14">SUM(C32+C33)</f>
        <v>0</v>
      </c>
      <c r="D34" s="29">
        <f t="shared" si="14"/>
        <v>0</v>
      </c>
      <c r="E34" s="29">
        <f t="shared" si="14"/>
        <v>0</v>
      </c>
      <c r="F34" s="29">
        <f t="shared" si="14"/>
        <v>0</v>
      </c>
      <c r="G34" s="29">
        <f t="shared" si="14"/>
        <v>0</v>
      </c>
      <c r="H34" s="29">
        <f t="shared" si="14"/>
        <v>0</v>
      </c>
      <c r="I34" s="29">
        <f t="shared" si="14"/>
        <v>0</v>
      </c>
      <c r="J34" s="29">
        <f t="shared" si="14"/>
        <v>0</v>
      </c>
      <c r="K34" s="29">
        <f t="shared" si="14"/>
        <v>0</v>
      </c>
      <c r="L34" s="29">
        <f t="shared" si="14"/>
        <v>0</v>
      </c>
      <c r="M34" s="29">
        <f t="shared" si="14"/>
        <v>0</v>
      </c>
      <c r="N34" s="34"/>
      <c r="O34" s="13"/>
    </row>
    <row r="35" spans="1:15" x14ac:dyDescent="0.25">
      <c r="A35" s="11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2"/>
      <c r="O35" s="10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3"/>
  <sheetViews>
    <sheetView workbookViewId="0">
      <selection activeCell="B4" sqref="B4"/>
    </sheetView>
  </sheetViews>
  <sheetFormatPr defaultColWidth="8.85546875" defaultRowHeight="15" x14ac:dyDescent="0.25"/>
  <cols>
    <col min="1" max="1" width="26.85546875" style="14" customWidth="1"/>
    <col min="2" max="2" width="17.85546875" style="14" customWidth="1"/>
    <col min="3" max="3" width="17.5703125" style="14" customWidth="1"/>
    <col min="4" max="4" width="20.5703125" style="14" customWidth="1"/>
    <col min="5" max="16384" width="8.85546875" style="14"/>
  </cols>
  <sheetData>
    <row r="1" spans="1:4" ht="30.75" thickBot="1" x14ac:dyDescent="0.3">
      <c r="A1" s="59" t="s">
        <v>284</v>
      </c>
      <c r="B1" s="52" t="s">
        <v>265</v>
      </c>
      <c r="C1" s="53" t="s">
        <v>266</v>
      </c>
      <c r="D1" s="52" t="s">
        <v>267</v>
      </c>
    </row>
    <row r="2" spans="1:4" ht="15.75" thickBot="1" x14ac:dyDescent="0.3">
      <c r="A2" s="54" t="s">
        <v>268</v>
      </c>
      <c r="B2" s="51"/>
      <c r="C2" s="51"/>
      <c r="D2" s="51"/>
    </row>
    <row r="3" spans="1:4" ht="30.75" thickBot="1" x14ac:dyDescent="0.3">
      <c r="A3" s="54" t="s">
        <v>269</v>
      </c>
      <c r="B3" s="55">
        <v>250</v>
      </c>
      <c r="C3" s="55">
        <v>3000</v>
      </c>
      <c r="D3" s="56">
        <v>750000</v>
      </c>
    </row>
    <row r="4" spans="1:4" ht="15.75" thickBot="1" x14ac:dyDescent="0.3">
      <c r="A4" s="54" t="s">
        <v>270</v>
      </c>
      <c r="B4" s="55">
        <v>150</v>
      </c>
      <c r="C4" s="55">
        <v>2000</v>
      </c>
      <c r="D4" s="56">
        <v>300000</v>
      </c>
    </row>
    <row r="5" spans="1:4" ht="15.75" thickBot="1" x14ac:dyDescent="0.3">
      <c r="A5" s="54" t="s">
        <v>271</v>
      </c>
      <c r="B5" s="55">
        <v>40</v>
      </c>
      <c r="C5" s="55">
        <v>2000</v>
      </c>
      <c r="D5" s="56">
        <v>80000</v>
      </c>
    </row>
    <row r="6" spans="1:4" ht="15.75" thickBot="1" x14ac:dyDescent="0.3">
      <c r="A6" s="54" t="s">
        <v>272</v>
      </c>
      <c r="B6" s="55">
        <v>100</v>
      </c>
      <c r="C6" s="55">
        <v>1800</v>
      </c>
      <c r="D6" s="56">
        <v>180000</v>
      </c>
    </row>
    <row r="7" spans="1:4" ht="15.75" thickBot="1" x14ac:dyDescent="0.3">
      <c r="A7" s="54" t="s">
        <v>263</v>
      </c>
      <c r="B7" s="55">
        <v>100</v>
      </c>
      <c r="C7" s="55">
        <v>2200</v>
      </c>
      <c r="D7" s="56">
        <v>220000</v>
      </c>
    </row>
    <row r="8" spans="1:4" ht="15.75" thickBot="1" x14ac:dyDescent="0.3">
      <c r="A8" s="54" t="s">
        <v>264</v>
      </c>
      <c r="B8" s="55">
        <v>96</v>
      </c>
      <c r="C8" s="55">
        <v>2000</v>
      </c>
      <c r="D8" s="56">
        <v>192000</v>
      </c>
    </row>
    <row r="9" spans="1:4" ht="15.75" thickBot="1" x14ac:dyDescent="0.3">
      <c r="A9" s="57"/>
      <c r="B9" s="51"/>
      <c r="C9" s="51"/>
      <c r="D9" s="51"/>
    </row>
    <row r="10" spans="1:4" ht="15.75" thickBot="1" x14ac:dyDescent="0.3">
      <c r="A10" s="54" t="s">
        <v>273</v>
      </c>
      <c r="B10" s="51"/>
      <c r="C10" s="51"/>
      <c r="D10" s="51"/>
    </row>
    <row r="11" spans="1:4" ht="15.75" thickBot="1" x14ac:dyDescent="0.3">
      <c r="A11" s="54" t="s">
        <v>274</v>
      </c>
      <c r="B11" s="55">
        <v>200</v>
      </c>
      <c r="C11" s="55">
        <v>2000</v>
      </c>
      <c r="D11" s="56">
        <v>400000</v>
      </c>
    </row>
    <row r="12" spans="1:4" ht="15.75" thickBot="1" x14ac:dyDescent="0.3">
      <c r="A12" s="57"/>
      <c r="B12" s="51"/>
      <c r="C12" s="51"/>
      <c r="D12" s="51"/>
    </row>
    <row r="13" spans="1:4" ht="15.75" thickBot="1" x14ac:dyDescent="0.3">
      <c r="A13" s="54" t="s">
        <v>275</v>
      </c>
      <c r="B13" s="51"/>
      <c r="C13" s="51"/>
      <c r="D13" s="51"/>
    </row>
    <row r="14" spans="1:4" ht="15.75" thickBot="1" x14ac:dyDescent="0.3">
      <c r="A14" s="54" t="s">
        <v>276</v>
      </c>
      <c r="B14" s="55">
        <v>2300</v>
      </c>
      <c r="C14" s="55">
        <v>120</v>
      </c>
      <c r="D14" s="56">
        <v>276000</v>
      </c>
    </row>
    <row r="15" spans="1:4" ht="15.75" thickBot="1" x14ac:dyDescent="0.3">
      <c r="A15" s="54" t="s">
        <v>277</v>
      </c>
      <c r="B15" s="55">
        <v>4000</v>
      </c>
      <c r="C15" s="55">
        <v>40</v>
      </c>
      <c r="D15" s="56">
        <v>160000</v>
      </c>
    </row>
    <row r="16" spans="1:4" ht="15.75" thickBot="1" x14ac:dyDescent="0.3">
      <c r="A16" s="54" t="s">
        <v>278</v>
      </c>
      <c r="B16" s="55">
        <v>1</v>
      </c>
      <c r="C16" s="55">
        <v>40000</v>
      </c>
      <c r="D16" s="56">
        <v>40000</v>
      </c>
    </row>
    <row r="17" spans="1:4" ht="15.75" thickBot="1" x14ac:dyDescent="0.3">
      <c r="A17" s="57"/>
      <c r="B17" s="51"/>
      <c r="C17" s="51"/>
      <c r="D17" s="51"/>
    </row>
    <row r="18" spans="1:4" ht="15.75" thickBot="1" x14ac:dyDescent="0.3">
      <c r="A18" s="54" t="s">
        <v>279</v>
      </c>
      <c r="B18" s="51"/>
      <c r="C18" s="51"/>
      <c r="D18" s="58">
        <v>389700</v>
      </c>
    </row>
    <row r="19" spans="1:4" ht="15.75" thickBot="1" x14ac:dyDescent="0.3">
      <c r="A19" s="54" t="s">
        <v>280</v>
      </c>
      <c r="B19" s="51"/>
      <c r="C19" s="51"/>
      <c r="D19" s="55">
        <v>75000</v>
      </c>
    </row>
    <row r="20" spans="1:4" ht="15.75" thickBot="1" x14ac:dyDescent="0.3">
      <c r="A20" s="54" t="s">
        <v>281</v>
      </c>
      <c r="B20" s="51"/>
      <c r="C20" s="51"/>
      <c r="D20" s="58">
        <v>129900</v>
      </c>
    </row>
    <row r="21" spans="1:4" ht="15.75" thickBot="1" x14ac:dyDescent="0.3">
      <c r="A21" s="54" t="s">
        <v>282</v>
      </c>
      <c r="B21" s="51"/>
      <c r="C21" s="51"/>
      <c r="D21" s="58">
        <v>319260</v>
      </c>
    </row>
    <row r="22" spans="1:4" ht="15.75" thickBot="1" x14ac:dyDescent="0.3">
      <c r="A22" s="57"/>
      <c r="B22" s="51"/>
      <c r="C22" s="51"/>
      <c r="D22" s="62"/>
    </row>
    <row r="23" spans="1:4" ht="15.75" thickBot="1" x14ac:dyDescent="0.3">
      <c r="A23" s="54" t="s">
        <v>283</v>
      </c>
      <c r="B23" s="60"/>
      <c r="C23" s="60"/>
      <c r="D23" s="61">
        <f>SUM(D2:D22)</f>
        <v>3511860</v>
      </c>
    </row>
  </sheetData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5"/>
  <sheetViews>
    <sheetView topLeftCell="A40" workbookViewId="0">
      <selection activeCell="I65" sqref="I65"/>
    </sheetView>
  </sheetViews>
  <sheetFormatPr defaultRowHeight="15" x14ac:dyDescent="0.25"/>
  <sheetData>
    <row r="3" spans="1:9" x14ac:dyDescent="0.25">
      <c r="A3" t="s">
        <v>218</v>
      </c>
    </row>
    <row r="5" spans="1:9" x14ac:dyDescent="0.25">
      <c r="A5" t="s">
        <v>219</v>
      </c>
    </row>
    <row r="7" spans="1:9" x14ac:dyDescent="0.25">
      <c r="A7" t="s">
        <v>220</v>
      </c>
      <c r="I7">
        <v>2500</v>
      </c>
    </row>
    <row r="8" spans="1:9" x14ac:dyDescent="0.25">
      <c r="A8" t="s">
        <v>221</v>
      </c>
      <c r="I8">
        <v>710</v>
      </c>
    </row>
    <row r="9" spans="1:9" x14ac:dyDescent="0.25">
      <c r="A9" t="s">
        <v>222</v>
      </c>
      <c r="I9">
        <v>1500</v>
      </c>
    </row>
    <row r="10" spans="1:9" x14ac:dyDescent="0.25">
      <c r="A10" t="s">
        <v>223</v>
      </c>
      <c r="I10">
        <v>1175</v>
      </c>
    </row>
    <row r="11" spans="1:9" x14ac:dyDescent="0.25">
      <c r="A11" t="s">
        <v>224</v>
      </c>
      <c r="I11">
        <v>1000</v>
      </c>
    </row>
    <row r="12" spans="1:9" x14ac:dyDescent="0.25">
      <c r="A12" t="s">
        <v>225</v>
      </c>
      <c r="I12">
        <v>3000</v>
      </c>
    </row>
    <row r="13" spans="1:9" x14ac:dyDescent="0.25">
      <c r="A13" t="s">
        <v>226</v>
      </c>
      <c r="I13" s="49">
        <v>1000</v>
      </c>
    </row>
    <row r="15" spans="1:9" x14ac:dyDescent="0.25">
      <c r="A15" t="s">
        <v>227</v>
      </c>
    </row>
    <row r="16" spans="1:9" x14ac:dyDescent="0.25">
      <c r="A16" t="s">
        <v>228</v>
      </c>
      <c r="I16">
        <v>5000</v>
      </c>
    </row>
    <row r="17" spans="1:9" x14ac:dyDescent="0.25">
      <c r="A17" t="s">
        <v>229</v>
      </c>
      <c r="I17">
        <v>5000</v>
      </c>
    </row>
    <row r="18" spans="1:9" x14ac:dyDescent="0.25">
      <c r="A18" t="s">
        <v>230</v>
      </c>
      <c r="I18">
        <v>4000</v>
      </c>
    </row>
    <row r="20" spans="1:9" x14ac:dyDescent="0.25">
      <c r="A20" t="s">
        <v>231</v>
      </c>
    </row>
    <row r="22" spans="1:9" x14ac:dyDescent="0.25">
      <c r="A22" t="s">
        <v>232</v>
      </c>
    </row>
    <row r="24" spans="1:9" x14ac:dyDescent="0.25">
      <c r="A24" t="s">
        <v>233</v>
      </c>
      <c r="I24">
        <v>1500</v>
      </c>
    </row>
    <row r="25" spans="1:9" x14ac:dyDescent="0.25">
      <c r="A25" t="s">
        <v>234</v>
      </c>
    </row>
    <row r="27" spans="1:9" x14ac:dyDescent="0.25">
      <c r="A27" t="s">
        <v>235</v>
      </c>
    </row>
    <row r="28" spans="1:9" x14ac:dyDescent="0.25">
      <c r="A28" t="s">
        <v>236</v>
      </c>
      <c r="I28">
        <v>5000</v>
      </c>
    </row>
    <row r="30" spans="1:9" x14ac:dyDescent="0.25">
      <c r="A30" t="s">
        <v>237</v>
      </c>
    </row>
    <row r="31" spans="1:9" x14ac:dyDescent="0.25">
      <c r="A31" t="s">
        <v>238</v>
      </c>
      <c r="I31">
        <v>1000</v>
      </c>
    </row>
    <row r="33" spans="1:9" x14ac:dyDescent="0.25">
      <c r="A33" t="s">
        <v>239</v>
      </c>
    </row>
    <row r="35" spans="1:9" x14ac:dyDescent="0.25">
      <c r="A35" t="s">
        <v>240</v>
      </c>
      <c r="I35">
        <v>2000</v>
      </c>
    </row>
    <row r="37" spans="1:9" x14ac:dyDescent="0.25">
      <c r="A37" t="s">
        <v>241</v>
      </c>
    </row>
    <row r="39" spans="1:9" x14ac:dyDescent="0.25">
      <c r="A39" t="s">
        <v>242</v>
      </c>
      <c r="I39">
        <v>5000</v>
      </c>
    </row>
    <row r="41" spans="1:9" x14ac:dyDescent="0.25">
      <c r="A41" t="s">
        <v>243</v>
      </c>
    </row>
    <row r="43" spans="1:9" x14ac:dyDescent="0.25">
      <c r="A43" t="s">
        <v>244</v>
      </c>
      <c r="I43">
        <v>2000</v>
      </c>
    </row>
    <row r="44" spans="1:9" x14ac:dyDescent="0.25">
      <c r="A44" t="s">
        <v>245</v>
      </c>
    </row>
    <row r="45" spans="1:9" x14ac:dyDescent="0.25">
      <c r="A45" t="s">
        <v>246</v>
      </c>
    </row>
    <row r="47" spans="1:9" x14ac:dyDescent="0.25">
      <c r="A47" t="s">
        <v>247</v>
      </c>
      <c r="I47">
        <v>3000</v>
      </c>
    </row>
    <row r="49" spans="1:9" x14ac:dyDescent="0.25">
      <c r="A49" t="s">
        <v>248</v>
      </c>
    </row>
    <row r="50" spans="1:9" x14ac:dyDescent="0.25">
      <c r="A50" t="s">
        <v>249</v>
      </c>
      <c r="I50">
        <v>1500</v>
      </c>
    </row>
    <row r="51" spans="1:9" x14ac:dyDescent="0.25">
      <c r="A51" t="s">
        <v>250</v>
      </c>
    </row>
    <row r="52" spans="1:9" x14ac:dyDescent="0.25">
      <c r="A52" t="s">
        <v>251</v>
      </c>
      <c r="I52">
        <v>1500</v>
      </c>
    </row>
    <row r="53" spans="1:9" x14ac:dyDescent="0.25">
      <c r="A53" t="s">
        <v>252</v>
      </c>
    </row>
    <row r="55" spans="1:9" x14ac:dyDescent="0.25">
      <c r="A55" t="s">
        <v>253</v>
      </c>
    </row>
    <row r="57" spans="1:9" x14ac:dyDescent="0.25">
      <c r="A57" t="s">
        <v>254</v>
      </c>
    </row>
    <row r="59" spans="1:9" x14ac:dyDescent="0.25">
      <c r="A59" t="s">
        <v>255</v>
      </c>
      <c r="I59">
        <v>474</v>
      </c>
    </row>
    <row r="61" spans="1:9" x14ac:dyDescent="0.25">
      <c r="A61" t="s">
        <v>256</v>
      </c>
    </row>
    <row r="63" spans="1:9" x14ac:dyDescent="0.25">
      <c r="A63" t="s">
        <v>257</v>
      </c>
      <c r="I63">
        <v>2000</v>
      </c>
    </row>
    <row r="65" spans="9:9" x14ac:dyDescent="0.25">
      <c r="I65">
        <v>49859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7" zoomScale="97" zoomScaleNormal="97" workbookViewId="0">
      <selection activeCell="N18" sqref="N18"/>
    </sheetView>
  </sheetViews>
  <sheetFormatPr defaultColWidth="9.28515625" defaultRowHeight="15" x14ac:dyDescent="0.25"/>
  <cols>
    <col min="1" max="1" width="27" style="5" customWidth="1"/>
    <col min="2" max="3" width="10.28515625" style="5" bestFit="1" customWidth="1"/>
    <col min="4" max="14" width="9.28515625" style="5" customWidth="1"/>
    <col min="15" max="15" width="3.5703125" style="5" customWidth="1"/>
    <col min="16" max="16" width="15.28515625" style="5" customWidth="1"/>
    <col min="17" max="16384" width="9.28515625" style="5"/>
  </cols>
  <sheetData>
    <row r="1" spans="1:16" x14ac:dyDescent="0.25">
      <c r="A1" s="7" t="s">
        <v>83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x14ac:dyDescent="0.25">
      <c r="A2" s="7"/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3</v>
      </c>
      <c r="O2" s="8"/>
    </row>
    <row r="3" spans="1:16" x14ac:dyDescent="0.25">
      <c r="A3" s="9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3"/>
      <c r="O3" s="13"/>
    </row>
    <row r="4" spans="1:16" x14ac:dyDescent="0.25">
      <c r="A4" s="7" t="s">
        <v>17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3"/>
      <c r="O4" s="13"/>
    </row>
    <row r="5" spans="1:16" ht="15.75" thickBot="1" x14ac:dyDescent="0.3">
      <c r="A5" s="8" t="s">
        <v>71</v>
      </c>
      <c r="B5" s="29">
        <f t="shared" ref="B5:M5" si="0">SUM(3511860/18)</f>
        <v>195103.33333333334</v>
      </c>
      <c r="C5" s="29">
        <f t="shared" si="0"/>
        <v>195103.33333333334</v>
      </c>
      <c r="D5" s="29">
        <f t="shared" si="0"/>
        <v>195103.33333333334</v>
      </c>
      <c r="E5" s="29">
        <f t="shared" si="0"/>
        <v>195103.33333333334</v>
      </c>
      <c r="F5" s="29">
        <f t="shared" si="0"/>
        <v>195103.33333333334</v>
      </c>
      <c r="G5" s="29">
        <f t="shared" si="0"/>
        <v>195103.33333333334</v>
      </c>
      <c r="H5" s="29">
        <f t="shared" si="0"/>
        <v>195103.33333333334</v>
      </c>
      <c r="I5" s="29">
        <f t="shared" si="0"/>
        <v>195103.33333333334</v>
      </c>
      <c r="J5" s="29">
        <f t="shared" si="0"/>
        <v>195103.33333333334</v>
      </c>
      <c r="K5" s="29">
        <f t="shared" si="0"/>
        <v>195103.33333333334</v>
      </c>
      <c r="L5" s="29">
        <f t="shared" si="0"/>
        <v>195103.33333333334</v>
      </c>
      <c r="M5" s="29">
        <f t="shared" si="0"/>
        <v>195103.33333333334</v>
      </c>
      <c r="N5" s="33">
        <f t="shared" ref="N5:N6" si="1">SUM(B5:M5)</f>
        <v>2341240</v>
      </c>
      <c r="O5" s="8"/>
    </row>
    <row r="6" spans="1:16" x14ac:dyDescent="0.25">
      <c r="A6" s="28" t="s">
        <v>73</v>
      </c>
      <c r="B6" s="29">
        <v>0</v>
      </c>
      <c r="C6" s="29">
        <v>0</v>
      </c>
      <c r="D6" s="29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3">
        <f t="shared" si="1"/>
        <v>0</v>
      </c>
      <c r="O6" s="8"/>
    </row>
    <row r="7" spans="1:16" x14ac:dyDescent="0.25">
      <c r="A7" s="7" t="s">
        <v>18</v>
      </c>
      <c r="B7" s="29">
        <f t="shared" ref="B7:N7" si="2">SUM(B5:B6)</f>
        <v>195103.33333333334</v>
      </c>
      <c r="C7" s="29">
        <f t="shared" si="2"/>
        <v>195103.33333333334</v>
      </c>
      <c r="D7" s="29">
        <f t="shared" si="2"/>
        <v>195103.33333333334</v>
      </c>
      <c r="E7" s="29">
        <f t="shared" si="2"/>
        <v>195103.33333333334</v>
      </c>
      <c r="F7" s="29">
        <f t="shared" si="2"/>
        <v>195103.33333333334</v>
      </c>
      <c r="G7" s="29">
        <f t="shared" si="2"/>
        <v>195103.33333333334</v>
      </c>
      <c r="H7" s="29">
        <f t="shared" si="2"/>
        <v>195103.33333333334</v>
      </c>
      <c r="I7" s="29">
        <f t="shared" si="2"/>
        <v>195103.33333333334</v>
      </c>
      <c r="J7" s="29">
        <f t="shared" si="2"/>
        <v>195103.33333333334</v>
      </c>
      <c r="K7" s="29">
        <f t="shared" si="2"/>
        <v>195103.33333333334</v>
      </c>
      <c r="L7" s="29">
        <f t="shared" si="2"/>
        <v>195103.33333333334</v>
      </c>
      <c r="M7" s="29">
        <f t="shared" si="2"/>
        <v>195103.33333333334</v>
      </c>
      <c r="N7" s="33">
        <f t="shared" si="2"/>
        <v>2341240</v>
      </c>
      <c r="O7" s="8"/>
      <c r="P7" s="6"/>
    </row>
    <row r="8" spans="1:16" x14ac:dyDescent="0.25">
      <c r="A8" s="7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3"/>
      <c r="O8" s="8"/>
      <c r="P8" s="6"/>
    </row>
    <row r="9" spans="1:16" x14ac:dyDescent="0.25">
      <c r="A9" s="7" t="s">
        <v>19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3"/>
      <c r="O9" s="8"/>
    </row>
    <row r="10" spans="1:16" x14ac:dyDescent="0.25">
      <c r="A10" s="8" t="s">
        <v>144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3">
        <f>SUM(B10:M10)</f>
        <v>0</v>
      </c>
      <c r="O10" s="8"/>
    </row>
    <row r="11" spans="1:16" x14ac:dyDescent="0.25">
      <c r="A11" s="15" t="s">
        <v>99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3">
        <f>SUM(B11:M11)</f>
        <v>0</v>
      </c>
      <c r="O11" s="8"/>
    </row>
    <row r="12" spans="1:16" x14ac:dyDescent="0.25">
      <c r="A12" s="15" t="s">
        <v>100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3">
        <f t="shared" ref="N12:N16" si="3">SUM(B12:M12)</f>
        <v>0</v>
      </c>
      <c r="O12" s="8"/>
    </row>
    <row r="13" spans="1:16" x14ac:dyDescent="0.25">
      <c r="A13" s="15" t="s">
        <v>101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3">
        <f t="shared" si="3"/>
        <v>0</v>
      </c>
      <c r="O13" s="8"/>
    </row>
    <row r="14" spans="1:16" x14ac:dyDescent="0.25">
      <c r="A14" s="15" t="s">
        <v>102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3">
        <f t="shared" si="3"/>
        <v>0</v>
      </c>
      <c r="O14" s="8"/>
    </row>
    <row r="15" spans="1:16" x14ac:dyDescent="0.25">
      <c r="A15" s="15" t="s">
        <v>20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3">
        <f t="shared" si="3"/>
        <v>0</v>
      </c>
      <c r="O15" s="8"/>
    </row>
    <row r="16" spans="1:16" x14ac:dyDescent="0.25">
      <c r="A16" s="8" t="s">
        <v>80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3">
        <f t="shared" si="3"/>
        <v>0</v>
      </c>
      <c r="O16" s="13"/>
    </row>
    <row r="17" spans="1:15" x14ac:dyDescent="0.25">
      <c r="A17" s="8" t="s">
        <v>21</v>
      </c>
      <c r="B17" s="31">
        <f t="shared" ref="B17:M17" si="4">SUM(B10:B16)</f>
        <v>0</v>
      </c>
      <c r="C17" s="31">
        <f t="shared" si="4"/>
        <v>0</v>
      </c>
      <c r="D17" s="31">
        <f t="shared" si="4"/>
        <v>0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0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33">
        <f>SUM(B17:M17)</f>
        <v>0</v>
      </c>
      <c r="O17" s="13"/>
    </row>
    <row r="18" spans="1:15" x14ac:dyDescent="0.25">
      <c r="A18" s="7" t="s">
        <v>22</v>
      </c>
      <c r="B18" s="29">
        <f t="shared" ref="B18:N18" si="5">SUM(B7+B17)</f>
        <v>195103.33333333334</v>
      </c>
      <c r="C18" s="29">
        <f t="shared" si="5"/>
        <v>195103.33333333334</v>
      </c>
      <c r="D18" s="29">
        <f t="shared" si="5"/>
        <v>195103.33333333334</v>
      </c>
      <c r="E18" s="29">
        <f t="shared" si="5"/>
        <v>195103.33333333334</v>
      </c>
      <c r="F18" s="29">
        <f t="shared" si="5"/>
        <v>195103.33333333334</v>
      </c>
      <c r="G18" s="29">
        <f t="shared" si="5"/>
        <v>195103.33333333334</v>
      </c>
      <c r="H18" s="29">
        <f t="shared" si="5"/>
        <v>195103.33333333334</v>
      </c>
      <c r="I18" s="29">
        <f t="shared" si="5"/>
        <v>195103.33333333334</v>
      </c>
      <c r="J18" s="29">
        <f t="shared" si="5"/>
        <v>195103.33333333334</v>
      </c>
      <c r="K18" s="29">
        <f t="shared" si="5"/>
        <v>195103.33333333334</v>
      </c>
      <c r="L18" s="29">
        <f t="shared" si="5"/>
        <v>195103.33333333334</v>
      </c>
      <c r="M18" s="29">
        <f t="shared" si="5"/>
        <v>195103.33333333334</v>
      </c>
      <c r="N18" s="33">
        <f t="shared" si="5"/>
        <v>2341240</v>
      </c>
      <c r="O18" s="13"/>
    </row>
    <row r="19" spans="1:15" x14ac:dyDescent="0.25">
      <c r="A19" s="7" t="s">
        <v>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3"/>
      <c r="O19" s="13"/>
    </row>
    <row r="20" spans="1:15" x14ac:dyDescent="0.25">
      <c r="A20" s="8" t="s">
        <v>72</v>
      </c>
      <c r="B20" s="29">
        <f t="shared" ref="B20:M20" si="6">SUM(3511860/18)</f>
        <v>195103.33333333334</v>
      </c>
      <c r="C20" s="29">
        <f t="shared" si="6"/>
        <v>195103.33333333334</v>
      </c>
      <c r="D20" s="29">
        <f t="shared" si="6"/>
        <v>195103.33333333334</v>
      </c>
      <c r="E20" s="29">
        <f t="shared" si="6"/>
        <v>195103.33333333334</v>
      </c>
      <c r="F20" s="29">
        <f t="shared" si="6"/>
        <v>195103.33333333334</v>
      </c>
      <c r="G20" s="29">
        <f t="shared" si="6"/>
        <v>195103.33333333334</v>
      </c>
      <c r="H20" s="29">
        <f t="shared" si="6"/>
        <v>195103.33333333334</v>
      </c>
      <c r="I20" s="29">
        <f t="shared" si="6"/>
        <v>195103.33333333334</v>
      </c>
      <c r="J20" s="29">
        <f t="shared" si="6"/>
        <v>195103.33333333334</v>
      </c>
      <c r="K20" s="29">
        <f t="shared" si="6"/>
        <v>195103.33333333334</v>
      </c>
      <c r="L20" s="29">
        <f t="shared" si="6"/>
        <v>195103.33333333334</v>
      </c>
      <c r="M20" s="29">
        <f t="shared" si="6"/>
        <v>195103.33333333334</v>
      </c>
      <c r="N20" s="33">
        <f t="shared" ref="N20:N21" si="7">SUM(B20:M20)</f>
        <v>2341240</v>
      </c>
      <c r="O20" s="13"/>
    </row>
    <row r="21" spans="1:15" x14ac:dyDescent="0.25">
      <c r="A21" s="8" t="s">
        <v>28</v>
      </c>
      <c r="B21" s="41">
        <v>0</v>
      </c>
      <c r="C21" s="41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33">
        <f t="shared" si="7"/>
        <v>0</v>
      </c>
      <c r="O21" s="13"/>
    </row>
    <row r="22" spans="1:15" x14ac:dyDescent="0.25">
      <c r="A22" s="8" t="s">
        <v>152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33">
        <f>SUM(B22:M22)</f>
        <v>0</v>
      </c>
      <c r="O22" s="13"/>
    </row>
    <row r="23" spans="1:15" x14ac:dyDescent="0.25">
      <c r="A23" s="15" t="s">
        <v>99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3">
        <f>SUM(C23:M23)</f>
        <v>0</v>
      </c>
      <c r="O23" s="13"/>
    </row>
    <row r="24" spans="1:15" x14ac:dyDescent="0.25">
      <c r="A24" s="15" t="s">
        <v>102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33">
        <f t="shared" ref="N24:N28" si="8">SUM(B24:M24)</f>
        <v>0</v>
      </c>
      <c r="O24" s="13"/>
    </row>
    <row r="25" spans="1:15" x14ac:dyDescent="0.25">
      <c r="A25" s="15" t="s">
        <v>20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33">
        <f t="shared" si="8"/>
        <v>0</v>
      </c>
      <c r="O25" s="13"/>
    </row>
    <row r="26" spans="1:15" x14ac:dyDescent="0.25">
      <c r="A26" s="8" t="s">
        <v>153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33">
        <f t="shared" si="8"/>
        <v>0</v>
      </c>
      <c r="O26" s="13"/>
    </row>
    <row r="27" spans="1:15" x14ac:dyDescent="0.25">
      <c r="A27" s="8" t="s">
        <v>173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33">
        <f t="shared" si="8"/>
        <v>0</v>
      </c>
      <c r="O27" s="13"/>
    </row>
    <row r="28" spans="1:15" x14ac:dyDescent="0.25">
      <c r="A28" s="8" t="s">
        <v>21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33">
        <f t="shared" si="8"/>
        <v>0</v>
      </c>
      <c r="O28" s="13"/>
    </row>
    <row r="29" spans="1:15" x14ac:dyDescent="0.25">
      <c r="A29" s="7" t="s">
        <v>24</v>
      </c>
      <c r="B29" s="29">
        <f t="shared" ref="B29:M29" si="9">SUM(B20:B28)</f>
        <v>195103.33333333334</v>
      </c>
      <c r="C29" s="29">
        <f t="shared" si="9"/>
        <v>195103.33333333334</v>
      </c>
      <c r="D29" s="29">
        <f t="shared" si="9"/>
        <v>195103.33333333334</v>
      </c>
      <c r="E29" s="29">
        <f t="shared" si="9"/>
        <v>195103.33333333334</v>
      </c>
      <c r="F29" s="29">
        <f t="shared" si="9"/>
        <v>195103.33333333334</v>
      </c>
      <c r="G29" s="29">
        <f t="shared" si="9"/>
        <v>195103.33333333334</v>
      </c>
      <c r="H29" s="29">
        <f t="shared" si="9"/>
        <v>195103.33333333334</v>
      </c>
      <c r="I29" s="29">
        <f t="shared" si="9"/>
        <v>195103.33333333334</v>
      </c>
      <c r="J29" s="29">
        <f t="shared" si="9"/>
        <v>195103.33333333334</v>
      </c>
      <c r="K29" s="29">
        <f t="shared" si="9"/>
        <v>195103.33333333334</v>
      </c>
      <c r="L29" s="29">
        <f t="shared" si="9"/>
        <v>195103.33333333334</v>
      </c>
      <c r="M29" s="29">
        <f t="shared" si="9"/>
        <v>195103.33333333334</v>
      </c>
      <c r="N29" s="33">
        <f>SUM(B29:M29)</f>
        <v>2341240</v>
      </c>
      <c r="O29" s="13"/>
    </row>
    <row r="30" spans="1:15" x14ac:dyDescent="0.25">
      <c r="A30" s="7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4"/>
      <c r="O30" s="13"/>
    </row>
    <row r="31" spans="1:15" x14ac:dyDescent="0.25">
      <c r="A31" s="7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5"/>
      <c r="O31" s="13"/>
    </row>
    <row r="32" spans="1:15" x14ac:dyDescent="0.25">
      <c r="A32" s="7" t="s">
        <v>25</v>
      </c>
      <c r="B32" s="29">
        <f>'YE 2019'!$M$34</f>
        <v>0</v>
      </c>
      <c r="C32" s="29">
        <f t="shared" ref="C32:M32" si="10">SUM(B34)</f>
        <v>0</v>
      </c>
      <c r="D32" s="29">
        <f t="shared" si="10"/>
        <v>0</v>
      </c>
      <c r="E32" s="29">
        <f t="shared" si="10"/>
        <v>0</v>
      </c>
      <c r="F32" s="29">
        <f t="shared" si="10"/>
        <v>0</v>
      </c>
      <c r="G32" s="29">
        <f t="shared" si="10"/>
        <v>0</v>
      </c>
      <c r="H32" s="29">
        <f t="shared" si="10"/>
        <v>0</v>
      </c>
      <c r="I32" s="29">
        <f t="shared" si="10"/>
        <v>0</v>
      </c>
      <c r="J32" s="29">
        <f t="shared" si="10"/>
        <v>0</v>
      </c>
      <c r="K32" s="29">
        <f t="shared" si="10"/>
        <v>0</v>
      </c>
      <c r="L32" s="29">
        <f t="shared" si="10"/>
        <v>0</v>
      </c>
      <c r="M32" s="29">
        <f t="shared" si="10"/>
        <v>0</v>
      </c>
      <c r="N32" s="33"/>
      <c r="O32" s="13"/>
    </row>
    <row r="33" spans="1:15" x14ac:dyDescent="0.25">
      <c r="A33" s="7" t="s">
        <v>26</v>
      </c>
      <c r="B33" s="29">
        <f t="shared" ref="B33:M33" si="11">SUM(B18-B29)</f>
        <v>0</v>
      </c>
      <c r="C33" s="29">
        <f t="shared" si="11"/>
        <v>0</v>
      </c>
      <c r="D33" s="29">
        <f t="shared" si="11"/>
        <v>0</v>
      </c>
      <c r="E33" s="29">
        <f t="shared" si="11"/>
        <v>0</v>
      </c>
      <c r="F33" s="29">
        <f t="shared" si="11"/>
        <v>0</v>
      </c>
      <c r="G33" s="29">
        <f t="shared" si="11"/>
        <v>0</v>
      </c>
      <c r="H33" s="29">
        <f t="shared" si="11"/>
        <v>0</v>
      </c>
      <c r="I33" s="29">
        <f t="shared" si="11"/>
        <v>0</v>
      </c>
      <c r="J33" s="29">
        <f t="shared" si="11"/>
        <v>0</v>
      </c>
      <c r="K33" s="29">
        <f t="shared" si="11"/>
        <v>0</v>
      </c>
      <c r="L33" s="29">
        <f t="shared" si="11"/>
        <v>0</v>
      </c>
      <c r="M33" s="29">
        <f t="shared" si="11"/>
        <v>0</v>
      </c>
      <c r="N33" s="34"/>
      <c r="O33" s="13"/>
    </row>
    <row r="34" spans="1:15" x14ac:dyDescent="0.25">
      <c r="A34" s="7" t="s">
        <v>27</v>
      </c>
      <c r="B34" s="29">
        <f>SUM(B32+B33)</f>
        <v>0</v>
      </c>
      <c r="C34" s="29">
        <f t="shared" ref="C34:M34" si="12">SUM(C32+C33)</f>
        <v>0</v>
      </c>
      <c r="D34" s="29">
        <f t="shared" si="12"/>
        <v>0</v>
      </c>
      <c r="E34" s="29">
        <f t="shared" si="12"/>
        <v>0</v>
      </c>
      <c r="F34" s="29">
        <f t="shared" si="12"/>
        <v>0</v>
      </c>
      <c r="G34" s="29">
        <f t="shared" si="12"/>
        <v>0</v>
      </c>
      <c r="H34" s="29">
        <f t="shared" si="12"/>
        <v>0</v>
      </c>
      <c r="I34" s="29">
        <f t="shared" si="12"/>
        <v>0</v>
      </c>
      <c r="J34" s="29">
        <f t="shared" si="12"/>
        <v>0</v>
      </c>
      <c r="K34" s="29">
        <f t="shared" si="12"/>
        <v>0</v>
      </c>
      <c r="L34" s="29">
        <f t="shared" si="12"/>
        <v>0</v>
      </c>
      <c r="M34" s="29">
        <f t="shared" si="12"/>
        <v>0</v>
      </c>
      <c r="N34" s="34"/>
      <c r="O34" s="13"/>
    </row>
    <row r="35" spans="1:15" x14ac:dyDescent="0.25">
      <c r="A35" s="11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12"/>
      <c r="O35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topLeftCell="A11" zoomScale="97" zoomScaleNormal="97" workbookViewId="0">
      <selection activeCell="N17" sqref="N17"/>
    </sheetView>
  </sheetViews>
  <sheetFormatPr defaultColWidth="9.28515625" defaultRowHeight="15" x14ac:dyDescent="0.25"/>
  <cols>
    <col min="1" max="1" width="27" style="5" customWidth="1"/>
    <col min="2" max="3" width="10.28515625" style="5" bestFit="1" customWidth="1"/>
    <col min="4" max="14" width="9.28515625" style="5" customWidth="1"/>
    <col min="15" max="15" width="3.5703125" style="5" customWidth="1"/>
    <col min="16" max="16" width="15.28515625" style="5" customWidth="1"/>
    <col min="17" max="16384" width="9.28515625" style="5"/>
  </cols>
  <sheetData>
    <row r="1" spans="1:16" x14ac:dyDescent="0.25">
      <c r="A1" s="7" t="s">
        <v>84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x14ac:dyDescent="0.25">
      <c r="A2" s="7"/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3</v>
      </c>
      <c r="O2" s="8"/>
    </row>
    <row r="3" spans="1:16" x14ac:dyDescent="0.25">
      <c r="A3" s="9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3"/>
      <c r="O3" s="13"/>
    </row>
    <row r="4" spans="1:16" x14ac:dyDescent="0.25">
      <c r="A4" s="7" t="s">
        <v>17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3"/>
      <c r="O4" s="13"/>
    </row>
    <row r="5" spans="1:16" ht="15.75" thickBot="1" x14ac:dyDescent="0.3">
      <c r="A5" s="8" t="s">
        <v>71</v>
      </c>
      <c r="B5" s="29">
        <f t="shared" ref="B5:D5" si="0">SUM(3511860/18)</f>
        <v>195103.33333333334</v>
      </c>
      <c r="C5" s="29">
        <f t="shared" si="0"/>
        <v>195103.33333333334</v>
      </c>
      <c r="D5" s="29">
        <f t="shared" si="0"/>
        <v>195103.33333333334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3">
        <f t="shared" ref="N5:N6" si="1">SUM(B5:M5)</f>
        <v>585310</v>
      </c>
      <c r="O5" s="8"/>
    </row>
    <row r="6" spans="1:16" x14ac:dyDescent="0.25">
      <c r="A6" s="28" t="s">
        <v>73</v>
      </c>
      <c r="B6" s="29">
        <v>0</v>
      </c>
      <c r="C6" s="29">
        <v>100000</v>
      </c>
      <c r="D6" s="29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3">
        <f t="shared" si="1"/>
        <v>100000</v>
      </c>
      <c r="O6" s="8"/>
    </row>
    <row r="7" spans="1:16" x14ac:dyDescent="0.25">
      <c r="A7" s="7" t="s">
        <v>18</v>
      </c>
      <c r="B7" s="29">
        <f t="shared" ref="B7:N7" si="2">SUM(B5:B6)</f>
        <v>195103.33333333334</v>
      </c>
      <c r="C7" s="29">
        <f t="shared" si="2"/>
        <v>295103.33333333337</v>
      </c>
      <c r="D7" s="29">
        <f t="shared" si="2"/>
        <v>195103.33333333334</v>
      </c>
      <c r="E7" s="29">
        <f t="shared" si="2"/>
        <v>0</v>
      </c>
      <c r="F7" s="29">
        <f t="shared" si="2"/>
        <v>0</v>
      </c>
      <c r="G7" s="29">
        <f t="shared" si="2"/>
        <v>0</v>
      </c>
      <c r="H7" s="29">
        <f t="shared" si="2"/>
        <v>0</v>
      </c>
      <c r="I7" s="29">
        <f t="shared" si="2"/>
        <v>0</v>
      </c>
      <c r="J7" s="29">
        <f t="shared" si="2"/>
        <v>0</v>
      </c>
      <c r="K7" s="29">
        <f t="shared" si="2"/>
        <v>0</v>
      </c>
      <c r="L7" s="29">
        <f t="shared" si="2"/>
        <v>0</v>
      </c>
      <c r="M7" s="29">
        <f t="shared" si="2"/>
        <v>0</v>
      </c>
      <c r="N7" s="33">
        <f t="shared" si="2"/>
        <v>685310</v>
      </c>
      <c r="O7" s="8"/>
      <c r="P7" s="6"/>
    </row>
    <row r="8" spans="1:16" x14ac:dyDescent="0.25">
      <c r="A8" s="7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3"/>
      <c r="O8" s="8"/>
      <c r="P8" s="6"/>
    </row>
    <row r="9" spans="1:16" x14ac:dyDescent="0.25">
      <c r="A9" s="7" t="s">
        <v>19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3"/>
      <c r="O9" s="8"/>
    </row>
    <row r="10" spans="1:16" x14ac:dyDescent="0.25">
      <c r="A10" s="8" t="s">
        <v>20</v>
      </c>
      <c r="B10" s="29">
        <v>0</v>
      </c>
      <c r="C10" s="29">
        <v>0</v>
      </c>
      <c r="D10" s="29">
        <v>0</v>
      </c>
      <c r="E10" s="29">
        <f>Cafe!E10</f>
        <v>4000</v>
      </c>
      <c r="F10" s="29">
        <f>Cafe!F10</f>
        <v>16150</v>
      </c>
      <c r="G10" s="29">
        <f>Cafe!G10</f>
        <v>7800</v>
      </c>
      <c r="H10" s="29">
        <f>Cafe!H10</f>
        <v>9250</v>
      </c>
      <c r="I10" s="29">
        <f>Cafe!I10</f>
        <v>4050</v>
      </c>
      <c r="J10" s="29">
        <f>Cafe!J10</f>
        <v>9300</v>
      </c>
      <c r="K10" s="29">
        <f>Cafe!K10</f>
        <v>4050</v>
      </c>
      <c r="L10" s="29">
        <f>Cafe!L10</f>
        <v>3525</v>
      </c>
      <c r="M10" s="29">
        <f>Cafe!M10</f>
        <v>6300</v>
      </c>
      <c r="N10" s="33">
        <f>SUM(B10:M10)</f>
        <v>64425</v>
      </c>
      <c r="O10" s="8"/>
    </row>
    <row r="11" spans="1:16" x14ac:dyDescent="0.25">
      <c r="A11" s="15" t="s">
        <v>99</v>
      </c>
      <c r="B11" s="29">
        <v>0</v>
      </c>
      <c r="C11" s="29">
        <v>0</v>
      </c>
      <c r="D11" s="29">
        <v>0</v>
      </c>
      <c r="E11" s="29">
        <f>Theatre!E9</f>
        <v>135</v>
      </c>
      <c r="F11" s="29">
        <f>Theatre!F9</f>
        <v>700</v>
      </c>
      <c r="G11" s="29">
        <f>Theatre!G9</f>
        <v>270</v>
      </c>
      <c r="H11" s="29">
        <f>Theatre!H9</f>
        <v>9430</v>
      </c>
      <c r="I11" s="29">
        <f>Theatre!I9</f>
        <v>1430</v>
      </c>
      <c r="J11" s="29">
        <f>Theatre!J9</f>
        <v>2030</v>
      </c>
      <c r="K11" s="29">
        <f>Theatre!K9</f>
        <v>1430</v>
      </c>
      <c r="L11" s="29">
        <f>Theatre!L9</f>
        <v>4180</v>
      </c>
      <c r="M11" s="29">
        <f>Theatre!M9</f>
        <v>2030</v>
      </c>
      <c r="N11" s="33">
        <f>SUM(B11:M11)</f>
        <v>21635</v>
      </c>
      <c r="O11" s="8"/>
    </row>
    <row r="12" spans="1:16" x14ac:dyDescent="0.25">
      <c r="A12" s="15" t="s">
        <v>100</v>
      </c>
      <c r="B12" s="29">
        <v>0</v>
      </c>
      <c r="C12" s="29">
        <v>0</v>
      </c>
      <c r="D12" s="29">
        <v>0</v>
      </c>
      <c r="E12" s="29">
        <f>'Soft Play'!E7</f>
        <v>1110</v>
      </c>
      <c r="F12" s="29">
        <f>'Soft Play'!F7</f>
        <v>2385</v>
      </c>
      <c r="G12" s="29">
        <f>'Soft Play'!G7</f>
        <v>2310</v>
      </c>
      <c r="H12" s="29">
        <f>'Soft Play'!H7</f>
        <v>2385</v>
      </c>
      <c r="I12" s="29">
        <f>'Soft Play'!I7</f>
        <v>2310</v>
      </c>
      <c r="J12" s="29">
        <f>'Soft Play'!J7</f>
        <v>1920</v>
      </c>
      <c r="K12" s="29">
        <f>'Soft Play'!K7</f>
        <v>1920</v>
      </c>
      <c r="L12" s="29">
        <f>'Soft Play'!L7</f>
        <v>2220</v>
      </c>
      <c r="M12" s="29">
        <f>'Soft Play'!M7</f>
        <v>2445</v>
      </c>
      <c r="N12" s="33">
        <f t="shared" ref="N12:N15" si="3">SUM(B12:M12)</f>
        <v>19005</v>
      </c>
      <c r="O12" s="8"/>
    </row>
    <row r="13" spans="1:16" x14ac:dyDescent="0.25">
      <c r="A13" s="15" t="s">
        <v>102</v>
      </c>
      <c r="B13" s="29">
        <f>Bunkhouse!B6</f>
        <v>0</v>
      </c>
      <c r="C13" s="29">
        <f>Bunkhouse!C6</f>
        <v>0</v>
      </c>
      <c r="D13" s="29">
        <f>Bunkhouse!D6</f>
        <v>0</v>
      </c>
      <c r="E13" s="29">
        <f>Bunkhouse!E6</f>
        <v>3780</v>
      </c>
      <c r="F13" s="29">
        <f>Bunkhouse!F6</f>
        <v>22320</v>
      </c>
      <c r="G13" s="29">
        <f>Bunkhouse!G6</f>
        <v>12600</v>
      </c>
      <c r="H13" s="29">
        <f>Bunkhouse!H6</f>
        <v>9300</v>
      </c>
      <c r="I13" s="29">
        <f>Bunkhouse!I6</f>
        <v>1800</v>
      </c>
      <c r="J13" s="29">
        <f>Bunkhouse!J6</f>
        <v>5040</v>
      </c>
      <c r="K13" s="29">
        <f>Bunkhouse!K6</f>
        <v>1860</v>
      </c>
      <c r="L13" s="29">
        <f>Bunkhouse!L6</f>
        <v>1680</v>
      </c>
      <c r="M13" s="29">
        <f>Bunkhouse!M6</f>
        <v>2790</v>
      </c>
      <c r="N13" s="33">
        <f t="shared" si="3"/>
        <v>61170</v>
      </c>
      <c r="O13" s="8"/>
    </row>
    <row r="14" spans="1:16" x14ac:dyDescent="0.25">
      <c r="A14" s="15" t="s">
        <v>174</v>
      </c>
      <c r="B14" s="29">
        <v>0</v>
      </c>
      <c r="C14" s="29">
        <v>0</v>
      </c>
      <c r="D14" s="29">
        <v>0</v>
      </c>
      <c r="E14" s="29">
        <f>SUM(15000/12)</f>
        <v>1250</v>
      </c>
      <c r="F14" s="29">
        <f t="shared" ref="F14:M14" si="4">SUM(15000/12)</f>
        <v>1250</v>
      </c>
      <c r="G14" s="29">
        <f t="shared" si="4"/>
        <v>1250</v>
      </c>
      <c r="H14" s="29">
        <f t="shared" si="4"/>
        <v>1250</v>
      </c>
      <c r="I14" s="29">
        <f t="shared" si="4"/>
        <v>1250</v>
      </c>
      <c r="J14" s="29">
        <f t="shared" si="4"/>
        <v>1250</v>
      </c>
      <c r="K14" s="29">
        <f t="shared" si="4"/>
        <v>1250</v>
      </c>
      <c r="L14" s="29">
        <f t="shared" si="4"/>
        <v>1250</v>
      </c>
      <c r="M14" s="29">
        <f t="shared" si="4"/>
        <v>1250</v>
      </c>
      <c r="N14" s="33">
        <f t="shared" si="3"/>
        <v>11250</v>
      </c>
      <c r="O14" s="8"/>
    </row>
    <row r="15" spans="1:16" x14ac:dyDescent="0.25">
      <c r="A15" s="8" t="s">
        <v>188</v>
      </c>
      <c r="B15" s="29">
        <v>0</v>
      </c>
      <c r="C15" s="29">
        <v>0</v>
      </c>
      <c r="D15" s="29">
        <v>0</v>
      </c>
      <c r="E15" s="29">
        <f>'Recharging Income'!$F$20</f>
        <v>666.66666666666674</v>
      </c>
      <c r="F15" s="29">
        <f>'Recharging Income'!$F$20</f>
        <v>666.66666666666674</v>
      </c>
      <c r="G15" s="29">
        <f>'Recharging Income'!$F$20</f>
        <v>666.66666666666674</v>
      </c>
      <c r="H15" s="29">
        <f>'Recharging Income'!$F$20</f>
        <v>666.66666666666674</v>
      </c>
      <c r="I15" s="29">
        <f>'Recharging Income'!$F$20</f>
        <v>666.66666666666674</v>
      </c>
      <c r="J15" s="29">
        <f>'Recharging Income'!$F$20</f>
        <v>666.66666666666674</v>
      </c>
      <c r="K15" s="29">
        <f>'Recharging Income'!$F$20</f>
        <v>666.66666666666674</v>
      </c>
      <c r="L15" s="29">
        <f>'Recharging Income'!$F$20</f>
        <v>666.66666666666674</v>
      </c>
      <c r="M15" s="29">
        <f>'Recharging Income'!$F$20</f>
        <v>666.66666666666674</v>
      </c>
      <c r="N15" s="33">
        <f t="shared" si="3"/>
        <v>6000.0000000000018</v>
      </c>
      <c r="O15" s="13"/>
    </row>
    <row r="16" spans="1:16" x14ac:dyDescent="0.25">
      <c r="A16" s="8" t="s">
        <v>21</v>
      </c>
      <c r="B16" s="31">
        <f t="shared" ref="B16:M16" si="5">SUM(B10:B15)</f>
        <v>0</v>
      </c>
      <c r="C16" s="31">
        <f t="shared" si="5"/>
        <v>0</v>
      </c>
      <c r="D16" s="31">
        <f t="shared" si="5"/>
        <v>0</v>
      </c>
      <c r="E16" s="31">
        <f t="shared" si="5"/>
        <v>10941.666666666666</v>
      </c>
      <c r="F16" s="31">
        <f t="shared" si="5"/>
        <v>43471.666666666664</v>
      </c>
      <c r="G16" s="31">
        <f t="shared" si="5"/>
        <v>24896.666666666668</v>
      </c>
      <c r="H16" s="31">
        <f t="shared" si="5"/>
        <v>32281.666666666668</v>
      </c>
      <c r="I16" s="31">
        <f t="shared" si="5"/>
        <v>11506.666666666666</v>
      </c>
      <c r="J16" s="31">
        <f t="shared" si="5"/>
        <v>20206.666666666668</v>
      </c>
      <c r="K16" s="31">
        <f t="shared" si="5"/>
        <v>11176.666666666666</v>
      </c>
      <c r="L16" s="31">
        <f t="shared" si="5"/>
        <v>13521.666666666666</v>
      </c>
      <c r="M16" s="31">
        <f t="shared" si="5"/>
        <v>15481.666666666666</v>
      </c>
      <c r="N16" s="43">
        <f>SUM(B16:M16)</f>
        <v>183484.99999999997</v>
      </c>
      <c r="O16" s="13"/>
    </row>
    <row r="17" spans="1:15" x14ac:dyDescent="0.25">
      <c r="A17" s="7" t="s">
        <v>22</v>
      </c>
      <c r="B17" s="29">
        <f t="shared" ref="B17:N17" si="6">SUM(B7+B16)</f>
        <v>195103.33333333334</v>
      </c>
      <c r="C17" s="29">
        <f t="shared" si="6"/>
        <v>295103.33333333337</v>
      </c>
      <c r="D17" s="29">
        <f t="shared" si="6"/>
        <v>195103.33333333334</v>
      </c>
      <c r="E17" s="29">
        <f t="shared" si="6"/>
        <v>10941.666666666666</v>
      </c>
      <c r="F17" s="29">
        <f t="shared" si="6"/>
        <v>43471.666666666664</v>
      </c>
      <c r="G17" s="29">
        <f t="shared" si="6"/>
        <v>24896.666666666668</v>
      </c>
      <c r="H17" s="29">
        <f t="shared" si="6"/>
        <v>32281.666666666668</v>
      </c>
      <c r="I17" s="29">
        <f t="shared" si="6"/>
        <v>11506.666666666666</v>
      </c>
      <c r="J17" s="29">
        <f t="shared" si="6"/>
        <v>20206.666666666668</v>
      </c>
      <c r="K17" s="29">
        <f t="shared" si="6"/>
        <v>11176.666666666666</v>
      </c>
      <c r="L17" s="29">
        <f t="shared" si="6"/>
        <v>13521.666666666666</v>
      </c>
      <c r="M17" s="29">
        <f t="shared" si="6"/>
        <v>15481.666666666666</v>
      </c>
      <c r="N17" s="43">
        <f t="shared" si="6"/>
        <v>868795</v>
      </c>
      <c r="O17" s="13"/>
    </row>
    <row r="18" spans="1:15" x14ac:dyDescent="0.25">
      <c r="A18" s="7" t="s">
        <v>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3"/>
      <c r="O18" s="13"/>
    </row>
    <row r="19" spans="1:15" x14ac:dyDescent="0.25">
      <c r="A19" s="8" t="s">
        <v>72</v>
      </c>
      <c r="B19" s="29">
        <f t="shared" ref="B19:C19" si="7">SUM(3511860/18)</f>
        <v>195103.33333333334</v>
      </c>
      <c r="C19" s="29">
        <f t="shared" si="7"/>
        <v>195103.33333333334</v>
      </c>
      <c r="D19" s="29">
        <f>SUM(3511860/18)+'Set-Up Costs'!I65</f>
        <v>244962.33333333334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3">
        <f t="shared" ref="N19:N20" si="8">SUM(B19:M19)</f>
        <v>635169</v>
      </c>
      <c r="O19" s="13"/>
    </row>
    <row r="20" spans="1:15" x14ac:dyDescent="0.25">
      <c r="A20" s="8" t="s">
        <v>28</v>
      </c>
      <c r="B20" s="41">
        <v>0</v>
      </c>
      <c r="C20" s="41">
        <v>3198</v>
      </c>
      <c r="D20" s="41">
        <v>3198</v>
      </c>
      <c r="E20" s="41">
        <f>Staffing!$E$27</f>
        <v>7550.5800000000008</v>
      </c>
      <c r="F20" s="41">
        <f>Staffing!$E$27</f>
        <v>7550.5800000000008</v>
      </c>
      <c r="G20" s="41">
        <f>Staffing!$E$27</f>
        <v>7550.5800000000008</v>
      </c>
      <c r="H20" s="41">
        <f>Staffing!$E$27</f>
        <v>7550.5800000000008</v>
      </c>
      <c r="I20" s="41">
        <f>Staffing!$E$27</f>
        <v>7550.5800000000008</v>
      </c>
      <c r="J20" s="41">
        <f>Staffing!$E$27</f>
        <v>7550.5800000000008</v>
      </c>
      <c r="K20" s="41">
        <f>Staffing!$E$27</f>
        <v>7550.5800000000008</v>
      </c>
      <c r="L20" s="41">
        <f>Staffing!$E$27</f>
        <v>7550.5800000000008</v>
      </c>
      <c r="M20" s="41">
        <f>Staffing!$E$27</f>
        <v>7550.5800000000008</v>
      </c>
      <c r="N20" s="33">
        <f t="shared" si="8"/>
        <v>74351.220000000016</v>
      </c>
      <c r="O20" s="13"/>
    </row>
    <row r="21" spans="1:15" x14ac:dyDescent="0.25">
      <c r="A21" s="8" t="s">
        <v>152</v>
      </c>
      <c r="B21" s="29">
        <v>0</v>
      </c>
      <c r="C21" s="29">
        <v>0</v>
      </c>
      <c r="D21" s="29">
        <v>0</v>
      </c>
      <c r="E21" s="29">
        <f>'Rev. Costs'!$B$21</f>
        <v>3033.3333333333335</v>
      </c>
      <c r="F21" s="29">
        <f>'Rev. Costs'!$B$21</f>
        <v>3033.3333333333335</v>
      </c>
      <c r="G21" s="29">
        <f>'Rev. Costs'!$B$21</f>
        <v>3033.3333333333335</v>
      </c>
      <c r="H21" s="29">
        <f>'Rev. Costs'!$B$21</f>
        <v>3033.3333333333335</v>
      </c>
      <c r="I21" s="29">
        <f>'Rev. Costs'!$B$21</f>
        <v>3033.3333333333335</v>
      </c>
      <c r="J21" s="29">
        <f>'Rev. Costs'!$B$21</f>
        <v>3033.3333333333335</v>
      </c>
      <c r="K21" s="29">
        <f>'Rev. Costs'!$B$21</f>
        <v>3033.3333333333335</v>
      </c>
      <c r="L21" s="29">
        <f>'Rev. Costs'!$B$21</f>
        <v>3033.3333333333335</v>
      </c>
      <c r="M21" s="29">
        <f>'Rev. Costs'!$B$21</f>
        <v>3033.3333333333335</v>
      </c>
      <c r="N21" s="33">
        <f>SUM(B21:M21)</f>
        <v>27299.999999999996</v>
      </c>
      <c r="O21" s="13"/>
    </row>
    <row r="22" spans="1:15" x14ac:dyDescent="0.25">
      <c r="A22" s="15" t="s">
        <v>99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f>Theatre!$H$14</f>
        <v>3400</v>
      </c>
      <c r="I22" s="29">
        <f>Theatre!I14</f>
        <v>0</v>
      </c>
      <c r="J22" s="29">
        <f>Theatre!J14</f>
        <v>0</v>
      </c>
      <c r="K22" s="29">
        <f>Theatre!K14</f>
        <v>0</v>
      </c>
      <c r="L22" s="29">
        <f>Theatre!L14</f>
        <v>900</v>
      </c>
      <c r="M22" s="29">
        <f>Theatre!M14</f>
        <v>0</v>
      </c>
      <c r="N22" s="33">
        <f>SUM(B22:M22)</f>
        <v>4300</v>
      </c>
      <c r="O22" s="13"/>
    </row>
    <row r="23" spans="1:15" x14ac:dyDescent="0.25">
      <c r="A23" s="15" t="s">
        <v>102</v>
      </c>
      <c r="B23" s="29">
        <f>Bunkhouse!B16</f>
        <v>0</v>
      </c>
      <c r="C23" s="29">
        <f>Bunkhouse!C16</f>
        <v>0</v>
      </c>
      <c r="D23" s="29">
        <f>Bunkhouse!D16</f>
        <v>0</v>
      </c>
      <c r="E23" s="29">
        <f>Bunkhouse!E16</f>
        <v>2590.1013333333331</v>
      </c>
      <c r="F23" s="29">
        <f>Bunkhouse!F16</f>
        <v>4444.1013333333331</v>
      </c>
      <c r="G23" s="29">
        <f>Bunkhouse!G16</f>
        <v>3472.1013333333331</v>
      </c>
      <c r="H23" s="29">
        <f>Bunkhouse!H16</f>
        <v>3142.1013333333331</v>
      </c>
      <c r="I23" s="29">
        <f>Bunkhouse!I16</f>
        <v>2392.1013333333331</v>
      </c>
      <c r="J23" s="29">
        <f>Bunkhouse!J16</f>
        <v>2716.1013333333331</v>
      </c>
      <c r="K23" s="29">
        <f>Bunkhouse!K16</f>
        <v>2398.1013333333331</v>
      </c>
      <c r="L23" s="29">
        <f>Bunkhouse!L16</f>
        <v>2380.1013333333331</v>
      </c>
      <c r="M23" s="29">
        <f>Bunkhouse!M16</f>
        <v>3991.1013333333331</v>
      </c>
      <c r="N23" s="33">
        <f t="shared" ref="N23:N27" si="9">SUM(B23:M23)</f>
        <v>27525.911999999993</v>
      </c>
      <c r="O23" s="13"/>
    </row>
    <row r="24" spans="1:15" x14ac:dyDescent="0.25">
      <c r="A24" s="15" t="s">
        <v>20</v>
      </c>
      <c r="B24" s="29">
        <v>0</v>
      </c>
      <c r="C24" s="29">
        <v>0</v>
      </c>
      <c r="D24" s="29">
        <v>0</v>
      </c>
      <c r="E24" s="29">
        <f>Cafe!E21</f>
        <v>6826.0853333333334</v>
      </c>
      <c r="F24" s="29">
        <f>Cafe!F21</f>
        <v>10641.085333333333</v>
      </c>
      <c r="G24" s="29">
        <f>Cafe!G21</f>
        <v>7351.7853333333333</v>
      </c>
      <c r="H24" s="29">
        <f>Cafe!H21</f>
        <v>7982.4853333333331</v>
      </c>
      <c r="I24" s="29">
        <f>Cafe!I21</f>
        <v>5851.7853333333333</v>
      </c>
      <c r="J24" s="29">
        <f>Cafe!J21</f>
        <v>8153.7853333333333</v>
      </c>
      <c r="K24" s="29">
        <f>Cafe!K21</f>
        <v>5964.1853333333329</v>
      </c>
      <c r="L24" s="29">
        <f>Cafe!L21</f>
        <v>5692.4853333333331</v>
      </c>
      <c r="M24" s="29">
        <f>Cafe!M21</f>
        <v>6751.7853333333333</v>
      </c>
      <c r="N24" s="33">
        <f t="shared" si="9"/>
        <v>65215.467999999993</v>
      </c>
      <c r="O24" s="13"/>
    </row>
    <row r="25" spans="1:15" x14ac:dyDescent="0.25">
      <c r="A25" s="8" t="s">
        <v>153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33">
        <f t="shared" si="9"/>
        <v>0</v>
      </c>
      <c r="O25" s="13"/>
    </row>
    <row r="26" spans="1:15" x14ac:dyDescent="0.25">
      <c r="A26" s="8" t="s">
        <v>176</v>
      </c>
      <c r="B26" s="29">
        <v>0</v>
      </c>
      <c r="C26" s="29">
        <v>5000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1500</v>
      </c>
      <c r="M26" s="29">
        <v>1500</v>
      </c>
      <c r="N26" s="33">
        <f t="shared" si="9"/>
        <v>8000</v>
      </c>
      <c r="O26" s="13"/>
    </row>
    <row r="27" spans="1:15" x14ac:dyDescent="0.25">
      <c r="A27" s="8" t="s">
        <v>21</v>
      </c>
      <c r="B27" s="29">
        <f>SUM(B20:B26)</f>
        <v>0</v>
      </c>
      <c r="C27" s="29">
        <f t="shared" ref="C27:M27" si="10">SUM(C20:C26)</f>
        <v>8198</v>
      </c>
      <c r="D27" s="29">
        <f t="shared" si="10"/>
        <v>3198</v>
      </c>
      <c r="E27" s="29">
        <f t="shared" si="10"/>
        <v>20000.099999999999</v>
      </c>
      <c r="F27" s="29">
        <f t="shared" si="10"/>
        <v>25669.1</v>
      </c>
      <c r="G27" s="29">
        <f t="shared" si="10"/>
        <v>21407.8</v>
      </c>
      <c r="H27" s="29">
        <f t="shared" si="10"/>
        <v>25108.5</v>
      </c>
      <c r="I27" s="29">
        <f t="shared" si="10"/>
        <v>18827.8</v>
      </c>
      <c r="J27" s="29">
        <f t="shared" si="10"/>
        <v>21453.8</v>
      </c>
      <c r="K27" s="29">
        <f t="shared" si="10"/>
        <v>18946.199999999997</v>
      </c>
      <c r="L27" s="29">
        <f t="shared" si="10"/>
        <v>21056.5</v>
      </c>
      <c r="M27" s="29">
        <f t="shared" si="10"/>
        <v>22826.799999999999</v>
      </c>
      <c r="N27" s="43">
        <f t="shared" si="9"/>
        <v>206692.59999999998</v>
      </c>
      <c r="O27" s="13"/>
    </row>
    <row r="28" spans="1:15" x14ac:dyDescent="0.25">
      <c r="A28" s="7" t="s">
        <v>24</v>
      </c>
      <c r="B28" s="29">
        <f t="shared" ref="B28:M28" si="11">SUM(B19+B27)</f>
        <v>195103.33333333334</v>
      </c>
      <c r="C28" s="29">
        <f t="shared" si="11"/>
        <v>203301.33333333334</v>
      </c>
      <c r="D28" s="29">
        <f t="shared" si="11"/>
        <v>248160.33333333334</v>
      </c>
      <c r="E28" s="29">
        <f t="shared" si="11"/>
        <v>20000.099999999999</v>
      </c>
      <c r="F28" s="29">
        <f t="shared" si="11"/>
        <v>25669.1</v>
      </c>
      <c r="G28" s="29">
        <f t="shared" si="11"/>
        <v>21407.8</v>
      </c>
      <c r="H28" s="29">
        <f t="shared" si="11"/>
        <v>25108.5</v>
      </c>
      <c r="I28" s="29">
        <f t="shared" si="11"/>
        <v>18827.8</v>
      </c>
      <c r="J28" s="29">
        <f t="shared" si="11"/>
        <v>21453.8</v>
      </c>
      <c r="K28" s="29">
        <f t="shared" si="11"/>
        <v>18946.199999999997</v>
      </c>
      <c r="L28" s="29">
        <f t="shared" si="11"/>
        <v>21056.5</v>
      </c>
      <c r="M28" s="29">
        <f t="shared" si="11"/>
        <v>22826.799999999999</v>
      </c>
      <c r="N28" s="43">
        <f>SUM(B28:M28)</f>
        <v>841861.60000000009</v>
      </c>
      <c r="O28" s="13"/>
    </row>
    <row r="29" spans="1:15" x14ac:dyDescent="0.25">
      <c r="A29" s="7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4"/>
      <c r="O29" s="13"/>
    </row>
    <row r="30" spans="1:15" x14ac:dyDescent="0.25">
      <c r="A30" s="7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5"/>
      <c r="O30" s="13"/>
    </row>
    <row r="31" spans="1:15" x14ac:dyDescent="0.25">
      <c r="A31" s="7" t="s">
        <v>25</v>
      </c>
      <c r="B31" s="29">
        <f>'YE 2020'!$M$34</f>
        <v>0</v>
      </c>
      <c r="C31" s="29">
        <f t="shared" ref="C31:M31" si="12">SUM(B33)</f>
        <v>0</v>
      </c>
      <c r="D31" s="29">
        <f t="shared" si="12"/>
        <v>91802.000000000029</v>
      </c>
      <c r="E31" s="29">
        <f t="shared" si="12"/>
        <v>38745.000000000029</v>
      </c>
      <c r="F31" s="29">
        <f t="shared" si="12"/>
        <v>29686.566666666695</v>
      </c>
      <c r="G31" s="29">
        <f t="shared" si="12"/>
        <v>47489.13333333336</v>
      </c>
      <c r="H31" s="29">
        <f t="shared" si="12"/>
        <v>50978.000000000029</v>
      </c>
      <c r="I31" s="29">
        <f t="shared" si="12"/>
        <v>58151.166666666701</v>
      </c>
      <c r="J31" s="29">
        <f t="shared" si="12"/>
        <v>50830.033333333369</v>
      </c>
      <c r="K31" s="29">
        <f t="shared" si="12"/>
        <v>49582.900000000038</v>
      </c>
      <c r="L31" s="29">
        <f t="shared" si="12"/>
        <v>41813.366666666705</v>
      </c>
      <c r="M31" s="29">
        <f t="shared" si="12"/>
        <v>34278.533333333369</v>
      </c>
      <c r="N31" s="33"/>
      <c r="O31" s="13"/>
    </row>
    <row r="32" spans="1:15" x14ac:dyDescent="0.25">
      <c r="A32" s="7" t="s">
        <v>26</v>
      </c>
      <c r="B32" s="29">
        <f t="shared" ref="B32:M32" si="13">SUM(B17-B28)</f>
        <v>0</v>
      </c>
      <c r="C32" s="29">
        <f t="shared" si="13"/>
        <v>91802.000000000029</v>
      </c>
      <c r="D32" s="29">
        <f t="shared" si="13"/>
        <v>-53057</v>
      </c>
      <c r="E32" s="29">
        <f t="shared" si="13"/>
        <v>-9058.4333333333325</v>
      </c>
      <c r="F32" s="29">
        <f t="shared" si="13"/>
        <v>17802.566666666666</v>
      </c>
      <c r="G32" s="29">
        <f t="shared" si="13"/>
        <v>3488.8666666666686</v>
      </c>
      <c r="H32" s="29">
        <f t="shared" si="13"/>
        <v>7173.1666666666679</v>
      </c>
      <c r="I32" s="29">
        <f t="shared" si="13"/>
        <v>-7321.1333333333332</v>
      </c>
      <c r="J32" s="29">
        <f t="shared" si="13"/>
        <v>-1247.1333333333314</v>
      </c>
      <c r="K32" s="29">
        <f t="shared" si="13"/>
        <v>-7769.533333333331</v>
      </c>
      <c r="L32" s="29">
        <f t="shared" si="13"/>
        <v>-7534.8333333333339</v>
      </c>
      <c r="M32" s="29">
        <f t="shared" si="13"/>
        <v>-7345.1333333333332</v>
      </c>
      <c r="N32" s="34"/>
      <c r="O32" s="13"/>
    </row>
    <row r="33" spans="1:15" x14ac:dyDescent="0.25">
      <c r="A33" s="7" t="s">
        <v>27</v>
      </c>
      <c r="B33" s="29">
        <f>SUM(B31+B32)</f>
        <v>0</v>
      </c>
      <c r="C33" s="29">
        <f t="shared" ref="C33:M33" si="14">SUM(C31+C32)</f>
        <v>91802.000000000029</v>
      </c>
      <c r="D33" s="29">
        <f t="shared" si="14"/>
        <v>38745.000000000029</v>
      </c>
      <c r="E33" s="29">
        <f t="shared" si="14"/>
        <v>29686.566666666695</v>
      </c>
      <c r="F33" s="29">
        <f t="shared" si="14"/>
        <v>47489.13333333336</v>
      </c>
      <c r="G33" s="29">
        <f t="shared" si="14"/>
        <v>50978.000000000029</v>
      </c>
      <c r="H33" s="29">
        <f t="shared" si="14"/>
        <v>58151.166666666701</v>
      </c>
      <c r="I33" s="29">
        <f t="shared" si="14"/>
        <v>50830.033333333369</v>
      </c>
      <c r="J33" s="29">
        <f t="shared" si="14"/>
        <v>49582.900000000038</v>
      </c>
      <c r="K33" s="29">
        <f t="shared" si="14"/>
        <v>41813.366666666705</v>
      </c>
      <c r="L33" s="29">
        <f t="shared" si="14"/>
        <v>34278.533333333369</v>
      </c>
      <c r="M33" s="29">
        <f t="shared" si="14"/>
        <v>26933.400000000038</v>
      </c>
      <c r="N33" s="34"/>
      <c r="O33" s="13"/>
    </row>
    <row r="34" spans="1:15" x14ac:dyDescent="0.25">
      <c r="A34" s="1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12"/>
      <c r="O34" s="10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topLeftCell="A11" zoomScale="97" zoomScaleNormal="97" workbookViewId="0">
      <selection activeCell="C15" sqref="C15:M15"/>
    </sheetView>
  </sheetViews>
  <sheetFormatPr defaultColWidth="9.28515625" defaultRowHeight="15" x14ac:dyDescent="0.25"/>
  <cols>
    <col min="1" max="1" width="27" style="5" customWidth="1"/>
    <col min="2" max="3" width="10.28515625" style="5" bestFit="1" customWidth="1"/>
    <col min="4" max="14" width="9.28515625" style="5" customWidth="1"/>
    <col min="15" max="15" width="3.5703125" style="5" customWidth="1"/>
    <col min="16" max="16" width="15.28515625" style="5" customWidth="1"/>
    <col min="17" max="16384" width="9.28515625" style="5"/>
  </cols>
  <sheetData>
    <row r="1" spans="1:16" x14ac:dyDescent="0.25">
      <c r="A1" s="7" t="s">
        <v>85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x14ac:dyDescent="0.25">
      <c r="A2" s="7"/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3</v>
      </c>
      <c r="O2" s="8"/>
    </row>
    <row r="3" spans="1:16" x14ac:dyDescent="0.25">
      <c r="A3" s="9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3"/>
      <c r="O3" s="13"/>
    </row>
    <row r="4" spans="1:16" x14ac:dyDescent="0.25">
      <c r="A4" s="7" t="s">
        <v>17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3"/>
      <c r="O4" s="13"/>
    </row>
    <row r="5" spans="1:16" ht="15.75" thickBot="1" x14ac:dyDescent="0.3">
      <c r="A5" s="8" t="s">
        <v>71</v>
      </c>
      <c r="B5" s="32">
        <v>0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3">
        <f t="shared" ref="N5:N6" si="0">SUM(B5:M5)</f>
        <v>0</v>
      </c>
      <c r="O5" s="8"/>
    </row>
    <row r="6" spans="1:16" x14ac:dyDescent="0.25">
      <c r="A6" s="28" t="s">
        <v>73</v>
      </c>
      <c r="B6" s="29">
        <v>0</v>
      </c>
      <c r="C6" s="29">
        <v>0</v>
      </c>
      <c r="D6" s="29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3">
        <f t="shared" si="0"/>
        <v>0</v>
      </c>
      <c r="O6" s="8"/>
    </row>
    <row r="7" spans="1:16" x14ac:dyDescent="0.25">
      <c r="A7" s="7" t="s">
        <v>18</v>
      </c>
      <c r="B7" s="29">
        <f t="shared" ref="B7:N7" si="1">SUM(B5:B6)</f>
        <v>0</v>
      </c>
      <c r="C7" s="29">
        <f t="shared" si="1"/>
        <v>0</v>
      </c>
      <c r="D7" s="29">
        <f t="shared" si="1"/>
        <v>0</v>
      </c>
      <c r="E7" s="29">
        <f t="shared" si="1"/>
        <v>0</v>
      </c>
      <c r="F7" s="29">
        <f t="shared" si="1"/>
        <v>0</v>
      </c>
      <c r="G7" s="29">
        <f t="shared" si="1"/>
        <v>0</v>
      </c>
      <c r="H7" s="29">
        <f t="shared" si="1"/>
        <v>0</v>
      </c>
      <c r="I7" s="29">
        <f t="shared" si="1"/>
        <v>0</v>
      </c>
      <c r="J7" s="29">
        <f t="shared" si="1"/>
        <v>0</v>
      </c>
      <c r="K7" s="29">
        <f t="shared" si="1"/>
        <v>0</v>
      </c>
      <c r="L7" s="29">
        <f t="shared" si="1"/>
        <v>0</v>
      </c>
      <c r="M7" s="29">
        <f t="shared" si="1"/>
        <v>0</v>
      </c>
      <c r="N7" s="33">
        <f t="shared" si="1"/>
        <v>0</v>
      </c>
      <c r="O7" s="8"/>
      <c r="P7" s="6"/>
    </row>
    <row r="8" spans="1:16" x14ac:dyDescent="0.25">
      <c r="A8" s="7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3"/>
      <c r="O8" s="8"/>
      <c r="P8" s="6"/>
    </row>
    <row r="9" spans="1:16" x14ac:dyDescent="0.25">
      <c r="A9" s="7" t="s">
        <v>19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3"/>
      <c r="O9" s="8"/>
    </row>
    <row r="10" spans="1:16" x14ac:dyDescent="0.25">
      <c r="A10" s="8" t="s">
        <v>20</v>
      </c>
      <c r="B10" s="29">
        <f>Cafe!B36</f>
        <v>11800</v>
      </c>
      <c r="C10" s="29">
        <f>Cafe!C36</f>
        <v>9900</v>
      </c>
      <c r="D10" s="29">
        <f>Cafe!D36</f>
        <v>8100</v>
      </c>
      <c r="E10" s="29">
        <f>Cafe!E36</f>
        <v>9550</v>
      </c>
      <c r="F10" s="29">
        <f>Cafe!F36</f>
        <v>16150</v>
      </c>
      <c r="G10" s="29">
        <f>Cafe!G36</f>
        <v>8100</v>
      </c>
      <c r="H10" s="29">
        <f>Cafe!H36</f>
        <v>9550</v>
      </c>
      <c r="I10" s="29">
        <f>Cafe!I36</f>
        <v>4350</v>
      </c>
      <c r="J10" s="29">
        <f>Cafe!J36</f>
        <v>9300</v>
      </c>
      <c r="K10" s="29">
        <f>Cafe!K36</f>
        <v>4050</v>
      </c>
      <c r="L10" s="29">
        <f>Cafe!L36</f>
        <v>3825</v>
      </c>
      <c r="M10" s="29">
        <f>Cafe!M36</f>
        <v>8400</v>
      </c>
      <c r="N10" s="33">
        <f>SUM(B10:M10)</f>
        <v>103075</v>
      </c>
      <c r="O10" s="8"/>
    </row>
    <row r="11" spans="1:16" x14ac:dyDescent="0.25">
      <c r="A11" s="15" t="s">
        <v>99</v>
      </c>
      <c r="B11" s="29">
        <f>Theatre!$B$23</f>
        <v>10680</v>
      </c>
      <c r="C11" s="29">
        <f>Theatre!C23</f>
        <v>2030</v>
      </c>
      <c r="D11" s="29">
        <f>Theatre!D23</f>
        <v>1430</v>
      </c>
      <c r="E11" s="29">
        <f>Theatre!E23</f>
        <v>10635</v>
      </c>
      <c r="F11" s="29">
        <f>Theatre!F23</f>
        <v>700</v>
      </c>
      <c r="G11" s="29">
        <f>Theatre!G23</f>
        <v>1430</v>
      </c>
      <c r="H11" s="29">
        <f>Theatre!H23</f>
        <v>13805</v>
      </c>
      <c r="I11" s="29">
        <f>Theatre!I23</f>
        <v>1430</v>
      </c>
      <c r="J11" s="29">
        <f>Theatre!J23</f>
        <v>1895</v>
      </c>
      <c r="K11" s="29">
        <f>Theatre!K23</f>
        <v>1430</v>
      </c>
      <c r="L11" s="29">
        <f>Theatre!L23</f>
        <v>4180</v>
      </c>
      <c r="M11" s="29">
        <f>Theatre!M23</f>
        <v>2030</v>
      </c>
      <c r="N11" s="33">
        <f>SUM(B11:M11)</f>
        <v>51675</v>
      </c>
      <c r="O11" s="8"/>
    </row>
    <row r="12" spans="1:16" x14ac:dyDescent="0.25">
      <c r="A12" s="15" t="s">
        <v>100</v>
      </c>
      <c r="B12" s="29">
        <f>'Soft Play'!B14</f>
        <v>2557.5</v>
      </c>
      <c r="C12" s="29">
        <f>'Soft Play'!C14</f>
        <v>2557.5</v>
      </c>
      <c r="D12" s="29">
        <f>'Soft Play'!D14</f>
        <v>2557.5</v>
      </c>
      <c r="E12" s="29">
        <f>'Soft Play'!E14</f>
        <v>2638.75</v>
      </c>
      <c r="F12" s="29">
        <f>'Soft Play'!F14</f>
        <v>2638.75</v>
      </c>
      <c r="G12" s="29">
        <f>'Soft Play'!G14</f>
        <v>2557.5</v>
      </c>
      <c r="H12" s="29">
        <f>'Soft Play'!H14</f>
        <v>2638.75</v>
      </c>
      <c r="I12" s="29">
        <f>'Soft Play'!I14</f>
        <v>2557.5</v>
      </c>
      <c r="J12" s="29">
        <f>'Soft Play'!J14</f>
        <v>2070</v>
      </c>
      <c r="K12" s="29">
        <f>'Soft Play'!K14</f>
        <v>2070</v>
      </c>
      <c r="L12" s="29">
        <f>'Soft Play'!L14</f>
        <v>2395</v>
      </c>
      <c r="M12" s="29">
        <f>'Soft Play'!M14</f>
        <v>2638.75</v>
      </c>
      <c r="N12" s="33">
        <f t="shared" ref="N12:N15" si="2">SUM(B12:M12)</f>
        <v>29877.5</v>
      </c>
      <c r="O12" s="8"/>
    </row>
    <row r="13" spans="1:16" x14ac:dyDescent="0.25">
      <c r="A13" s="15" t="s">
        <v>102</v>
      </c>
      <c r="B13" s="29">
        <f>Bunkhouse!B23</f>
        <v>19800</v>
      </c>
      <c r="C13" s="29">
        <f>Bunkhouse!C23</f>
        <v>10230</v>
      </c>
      <c r="D13" s="29">
        <f>Bunkhouse!D23</f>
        <v>13860</v>
      </c>
      <c r="E13" s="29">
        <f>Bunkhouse!E23</f>
        <v>24552</v>
      </c>
      <c r="F13" s="29">
        <f>Bunkhouse!F23</f>
        <v>24552</v>
      </c>
      <c r="G13" s="29">
        <f>Bunkhouse!G23</f>
        <v>13860</v>
      </c>
      <c r="H13" s="29">
        <f>Bunkhouse!H23</f>
        <v>10230</v>
      </c>
      <c r="I13" s="29">
        <f>Bunkhouse!I23</f>
        <v>1980</v>
      </c>
      <c r="J13" s="29">
        <f>Bunkhouse!J23</f>
        <v>5544</v>
      </c>
      <c r="K13" s="29">
        <f>Bunkhouse!K23</f>
        <v>2046</v>
      </c>
      <c r="L13" s="29">
        <f>Bunkhouse!L23</f>
        <v>1848</v>
      </c>
      <c r="M13" s="29">
        <f>Bunkhouse!M23</f>
        <v>3069</v>
      </c>
      <c r="N13" s="33">
        <f t="shared" si="2"/>
        <v>131571</v>
      </c>
      <c r="O13" s="8"/>
    </row>
    <row r="14" spans="1:16" x14ac:dyDescent="0.25">
      <c r="A14" s="15" t="s">
        <v>174</v>
      </c>
      <c r="B14" s="29">
        <f>SUM(15000/12)/100*103</f>
        <v>1287.5</v>
      </c>
      <c r="C14" s="29">
        <f t="shared" ref="C14:M14" si="3">SUM(15000/12)/100*103</f>
        <v>1287.5</v>
      </c>
      <c r="D14" s="29">
        <f t="shared" si="3"/>
        <v>1287.5</v>
      </c>
      <c r="E14" s="29">
        <f t="shared" si="3"/>
        <v>1287.5</v>
      </c>
      <c r="F14" s="29">
        <f t="shared" si="3"/>
        <v>1287.5</v>
      </c>
      <c r="G14" s="29">
        <f t="shared" si="3"/>
        <v>1287.5</v>
      </c>
      <c r="H14" s="29">
        <f t="shared" si="3"/>
        <v>1287.5</v>
      </c>
      <c r="I14" s="29">
        <f t="shared" si="3"/>
        <v>1287.5</v>
      </c>
      <c r="J14" s="29">
        <f t="shared" si="3"/>
        <v>1287.5</v>
      </c>
      <c r="K14" s="29">
        <f t="shared" si="3"/>
        <v>1287.5</v>
      </c>
      <c r="L14" s="29">
        <f t="shared" si="3"/>
        <v>1287.5</v>
      </c>
      <c r="M14" s="29">
        <f t="shared" si="3"/>
        <v>1287.5</v>
      </c>
      <c r="N14" s="33">
        <f t="shared" si="2"/>
        <v>15450</v>
      </c>
      <c r="O14" s="8"/>
    </row>
    <row r="15" spans="1:16" x14ac:dyDescent="0.25">
      <c r="A15" s="8" t="s">
        <v>189</v>
      </c>
      <c r="B15" s="29">
        <f>SUM(667/100*103)</f>
        <v>687.01</v>
      </c>
      <c r="C15" s="29">
        <f t="shared" ref="C15:M15" si="4">SUM(667/100*103)</f>
        <v>687.01</v>
      </c>
      <c r="D15" s="29">
        <f t="shared" si="4"/>
        <v>687.01</v>
      </c>
      <c r="E15" s="29">
        <f t="shared" si="4"/>
        <v>687.01</v>
      </c>
      <c r="F15" s="29">
        <f t="shared" si="4"/>
        <v>687.01</v>
      </c>
      <c r="G15" s="29">
        <f t="shared" si="4"/>
        <v>687.01</v>
      </c>
      <c r="H15" s="29">
        <f t="shared" si="4"/>
        <v>687.01</v>
      </c>
      <c r="I15" s="29">
        <f t="shared" si="4"/>
        <v>687.01</v>
      </c>
      <c r="J15" s="29">
        <f t="shared" si="4"/>
        <v>687.01</v>
      </c>
      <c r="K15" s="29">
        <f t="shared" si="4"/>
        <v>687.01</v>
      </c>
      <c r="L15" s="29">
        <f t="shared" si="4"/>
        <v>687.01</v>
      </c>
      <c r="M15" s="29">
        <f t="shared" si="4"/>
        <v>687.01</v>
      </c>
      <c r="N15" s="33">
        <f t="shared" si="2"/>
        <v>8244.1200000000008</v>
      </c>
      <c r="O15" s="13"/>
    </row>
    <row r="16" spans="1:16" x14ac:dyDescent="0.25">
      <c r="A16" s="8" t="s">
        <v>21</v>
      </c>
      <c r="B16" s="31">
        <f t="shared" ref="B16:M16" si="5">SUM(B10:B15)</f>
        <v>46812.01</v>
      </c>
      <c r="C16" s="31">
        <f t="shared" si="5"/>
        <v>26692.01</v>
      </c>
      <c r="D16" s="31">
        <f t="shared" si="5"/>
        <v>27922.01</v>
      </c>
      <c r="E16" s="31">
        <f t="shared" si="5"/>
        <v>49350.26</v>
      </c>
      <c r="F16" s="31">
        <f t="shared" si="5"/>
        <v>46015.26</v>
      </c>
      <c r="G16" s="31">
        <f t="shared" si="5"/>
        <v>27922.01</v>
      </c>
      <c r="H16" s="31">
        <f t="shared" si="5"/>
        <v>38198.26</v>
      </c>
      <c r="I16" s="31">
        <f t="shared" si="5"/>
        <v>12292.01</v>
      </c>
      <c r="J16" s="31">
        <f t="shared" si="5"/>
        <v>20783.509999999998</v>
      </c>
      <c r="K16" s="31">
        <f t="shared" si="5"/>
        <v>11570.51</v>
      </c>
      <c r="L16" s="31">
        <f t="shared" si="5"/>
        <v>14222.51</v>
      </c>
      <c r="M16" s="31">
        <f t="shared" si="5"/>
        <v>18112.259999999998</v>
      </c>
      <c r="N16" s="43">
        <f>SUM(B16:M16)</f>
        <v>339892.62000000005</v>
      </c>
      <c r="O16" s="13"/>
    </row>
    <row r="17" spans="1:15" x14ac:dyDescent="0.25">
      <c r="A17" s="7" t="s">
        <v>22</v>
      </c>
      <c r="B17" s="29">
        <f t="shared" ref="B17:N17" si="6">SUM(B7+B16)</f>
        <v>46812.01</v>
      </c>
      <c r="C17" s="29">
        <f t="shared" si="6"/>
        <v>26692.01</v>
      </c>
      <c r="D17" s="29">
        <f t="shared" si="6"/>
        <v>27922.01</v>
      </c>
      <c r="E17" s="29">
        <f t="shared" si="6"/>
        <v>49350.26</v>
      </c>
      <c r="F17" s="29">
        <f t="shared" si="6"/>
        <v>46015.26</v>
      </c>
      <c r="G17" s="29">
        <f t="shared" si="6"/>
        <v>27922.01</v>
      </c>
      <c r="H17" s="29">
        <f t="shared" si="6"/>
        <v>38198.26</v>
      </c>
      <c r="I17" s="29">
        <f t="shared" si="6"/>
        <v>12292.01</v>
      </c>
      <c r="J17" s="29">
        <f t="shared" si="6"/>
        <v>20783.509999999998</v>
      </c>
      <c r="K17" s="29">
        <f t="shared" si="6"/>
        <v>11570.51</v>
      </c>
      <c r="L17" s="29">
        <f t="shared" si="6"/>
        <v>14222.51</v>
      </c>
      <c r="M17" s="29">
        <f t="shared" si="6"/>
        <v>18112.259999999998</v>
      </c>
      <c r="N17" s="43">
        <f t="shared" si="6"/>
        <v>339892.62000000005</v>
      </c>
      <c r="O17" s="13"/>
    </row>
    <row r="18" spans="1:15" x14ac:dyDescent="0.25">
      <c r="A18" s="7" t="s">
        <v>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3"/>
      <c r="O18" s="13"/>
    </row>
    <row r="19" spans="1:15" x14ac:dyDescent="0.25">
      <c r="A19" s="8" t="s">
        <v>72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3">
        <f t="shared" ref="N19:N20" si="7">SUM(B19:M19)</f>
        <v>0</v>
      </c>
      <c r="O19" s="13"/>
    </row>
    <row r="20" spans="1:15" x14ac:dyDescent="0.25">
      <c r="A20" s="8" t="s">
        <v>28</v>
      </c>
      <c r="B20" s="29">
        <f>Staffing!$E$15</f>
        <v>10585.051538666667</v>
      </c>
      <c r="C20" s="29">
        <f>Staffing!$E$15</f>
        <v>10585.051538666667</v>
      </c>
      <c r="D20" s="29">
        <f>Staffing!$E$15</f>
        <v>10585.051538666667</v>
      </c>
      <c r="E20" s="29">
        <f>Staffing!$E$15</f>
        <v>10585.051538666667</v>
      </c>
      <c r="F20" s="29">
        <f>Staffing!$E$15</f>
        <v>10585.051538666667</v>
      </c>
      <c r="G20" s="29">
        <f>Staffing!$E$15</f>
        <v>10585.051538666667</v>
      </c>
      <c r="H20" s="29">
        <f>Staffing!$E$15</f>
        <v>10585.051538666667</v>
      </c>
      <c r="I20" s="29">
        <f>Staffing!$E$15</f>
        <v>10585.051538666667</v>
      </c>
      <c r="J20" s="29">
        <f>Staffing!$E$15</f>
        <v>10585.051538666667</v>
      </c>
      <c r="K20" s="29">
        <f>Staffing!$E$15</f>
        <v>10585.051538666667</v>
      </c>
      <c r="L20" s="29">
        <f>Staffing!$E$15</f>
        <v>10585.051538666667</v>
      </c>
      <c r="M20" s="29">
        <f>Staffing!$E$15</f>
        <v>10585.051538666667</v>
      </c>
      <c r="N20" s="33">
        <f t="shared" si="7"/>
        <v>127020.618464</v>
      </c>
      <c r="O20" s="13"/>
    </row>
    <row r="21" spans="1:15" x14ac:dyDescent="0.25">
      <c r="A21" s="8" t="s">
        <v>152</v>
      </c>
      <c r="B21" s="29">
        <f>'Rev. Costs'!$B$22</f>
        <v>3124.3333333333335</v>
      </c>
      <c r="C21" s="29">
        <f>'Rev. Costs'!$B$22</f>
        <v>3124.3333333333335</v>
      </c>
      <c r="D21" s="29">
        <f>'Rev. Costs'!$B$22</f>
        <v>3124.3333333333335</v>
      </c>
      <c r="E21" s="29">
        <f>'Rev. Costs'!$B$22</f>
        <v>3124.3333333333335</v>
      </c>
      <c r="F21" s="29">
        <f>'Rev. Costs'!$B$22</f>
        <v>3124.3333333333335</v>
      </c>
      <c r="G21" s="29">
        <f>'Rev. Costs'!$B$22</f>
        <v>3124.3333333333335</v>
      </c>
      <c r="H21" s="29">
        <f>'Rev. Costs'!$B$22</f>
        <v>3124.3333333333335</v>
      </c>
      <c r="I21" s="29">
        <f>'Rev. Costs'!$B$22</f>
        <v>3124.3333333333335</v>
      </c>
      <c r="J21" s="29">
        <f>'Rev. Costs'!$B$22</f>
        <v>3124.3333333333335</v>
      </c>
      <c r="K21" s="29">
        <f>'Rev. Costs'!$B$22</f>
        <v>3124.3333333333335</v>
      </c>
      <c r="L21" s="29">
        <f>'Rev. Costs'!$B$22</f>
        <v>3124.3333333333335</v>
      </c>
      <c r="M21" s="29">
        <f>'Rev. Costs'!$B$22</f>
        <v>3124.3333333333335</v>
      </c>
      <c r="N21" s="33">
        <f>SUM(B21:M21)</f>
        <v>37492</v>
      </c>
      <c r="O21" s="13"/>
    </row>
    <row r="22" spans="1:15" x14ac:dyDescent="0.25">
      <c r="A22" s="15" t="s">
        <v>99</v>
      </c>
      <c r="B22" s="29">
        <f>Theatre!$B$28</f>
        <v>3400</v>
      </c>
      <c r="C22" s="29">
        <f>Theatre!$B$28</f>
        <v>3400</v>
      </c>
      <c r="D22" s="29">
        <f>Theatre!$B$28</f>
        <v>3400</v>
      </c>
      <c r="E22" s="29">
        <f>Theatre!$B$28</f>
        <v>3400</v>
      </c>
      <c r="F22" s="29">
        <f>Theatre!F28</f>
        <v>0</v>
      </c>
      <c r="G22" s="29">
        <f>Theatre!G28</f>
        <v>0</v>
      </c>
      <c r="H22" s="29">
        <f>Theatre!H28</f>
        <v>3400</v>
      </c>
      <c r="I22" s="29">
        <f>Theatre!I28</f>
        <v>0</v>
      </c>
      <c r="J22" s="29">
        <f>Theatre!J28</f>
        <v>0</v>
      </c>
      <c r="K22" s="29">
        <f>Theatre!K28</f>
        <v>0</v>
      </c>
      <c r="L22" s="29">
        <f>Theatre!L28</f>
        <v>900</v>
      </c>
      <c r="M22" s="29">
        <f>Theatre!M28</f>
        <v>3000</v>
      </c>
      <c r="N22" s="33">
        <f>SUM(B22:M22)</f>
        <v>20900</v>
      </c>
      <c r="O22" s="13"/>
    </row>
    <row r="23" spans="1:15" x14ac:dyDescent="0.25">
      <c r="A23" s="15" t="s">
        <v>102</v>
      </c>
      <c r="B23" s="29">
        <f>Bunkhouse!B33</f>
        <v>4216.3599999999997</v>
      </c>
      <c r="C23" s="29">
        <f>Bunkhouse!C33</f>
        <v>3259.3599999999997</v>
      </c>
      <c r="D23" s="29">
        <f>Bunkhouse!D33</f>
        <v>3622.3599999999997</v>
      </c>
      <c r="E23" s="29">
        <f>Bunkhouse!E33</f>
        <v>4691.5599999999995</v>
      </c>
      <c r="F23" s="29">
        <f>Bunkhouse!F33</f>
        <v>4691.5599999999995</v>
      </c>
      <c r="G23" s="29">
        <f>Bunkhouse!G33</f>
        <v>3622.3599999999997</v>
      </c>
      <c r="H23" s="29">
        <f>Bunkhouse!H33</f>
        <v>3259.3599999999997</v>
      </c>
      <c r="I23" s="29">
        <f>Bunkhouse!I33</f>
        <v>2434.3599999999997</v>
      </c>
      <c r="J23" s="29">
        <f>Bunkhouse!J33</f>
        <v>2790.76</v>
      </c>
      <c r="K23" s="29">
        <f>Bunkhouse!K33</f>
        <v>2440.96</v>
      </c>
      <c r="L23" s="29">
        <f>Bunkhouse!L33</f>
        <v>2421.16</v>
      </c>
      <c r="M23" s="29">
        <f>Bunkhouse!M33</f>
        <v>4043.26</v>
      </c>
      <c r="N23" s="33">
        <f t="shared" ref="N23:N27" si="8">SUM(B23:M23)</f>
        <v>41493.420000000006</v>
      </c>
      <c r="O23" s="13"/>
    </row>
    <row r="24" spans="1:15" x14ac:dyDescent="0.25">
      <c r="A24" s="15" t="s">
        <v>20</v>
      </c>
      <c r="B24" s="29">
        <f>Cafe!B47</f>
        <v>9408.36</v>
      </c>
      <c r="C24" s="29">
        <f>Cafe!C47</f>
        <v>8421.01</v>
      </c>
      <c r="D24" s="29">
        <f>Cafe!D47</f>
        <v>7599.6100000000006</v>
      </c>
      <c r="E24" s="29">
        <f>Cafe!E47</f>
        <v>8406.2100000000009</v>
      </c>
      <c r="F24" s="29">
        <f>Cafe!F47</f>
        <v>10819.61</v>
      </c>
      <c r="G24" s="29">
        <f>Cafe!G47</f>
        <v>7650.31</v>
      </c>
      <c r="H24" s="29">
        <f>Cafe!H47</f>
        <v>8281.01</v>
      </c>
      <c r="I24" s="29">
        <f>Cafe!I47</f>
        <v>6150.31</v>
      </c>
      <c r="J24" s="29">
        <f>Cafe!J47</f>
        <v>8332.3100000000013</v>
      </c>
      <c r="K24" s="29">
        <f>Cafe!K47</f>
        <v>6142.7100000000009</v>
      </c>
      <c r="L24" s="29">
        <f>Cafe!L47</f>
        <v>5991.01</v>
      </c>
      <c r="M24" s="29">
        <f>Cafe!M47</f>
        <v>10170.310000000001</v>
      </c>
      <c r="N24" s="33">
        <f t="shared" si="8"/>
        <v>97372.77</v>
      </c>
      <c r="O24" s="13"/>
    </row>
    <row r="25" spans="1:15" x14ac:dyDescent="0.25">
      <c r="A25" s="8" t="s">
        <v>153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33">
        <f t="shared" si="8"/>
        <v>0</v>
      </c>
      <c r="O25" s="13"/>
    </row>
    <row r="26" spans="1:15" x14ac:dyDescent="0.25">
      <c r="A26" s="8" t="s">
        <v>176</v>
      </c>
      <c r="B26" s="29">
        <v>0</v>
      </c>
      <c r="C26" s="29">
        <v>1000</v>
      </c>
      <c r="D26" s="29">
        <v>1500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1000</v>
      </c>
      <c r="M26" s="29">
        <v>1500</v>
      </c>
      <c r="N26" s="33">
        <f t="shared" si="8"/>
        <v>5000</v>
      </c>
      <c r="O26" s="13"/>
    </row>
    <row r="27" spans="1:15" x14ac:dyDescent="0.25">
      <c r="A27" s="8" t="s">
        <v>21</v>
      </c>
      <c r="B27" s="29">
        <f>SUM(B20:B26)</f>
        <v>30734.104872000004</v>
      </c>
      <c r="C27" s="29">
        <f t="shared" ref="C27:M27" si="9">SUM(C20:C26)</f>
        <v>29789.754872000005</v>
      </c>
      <c r="D27" s="29">
        <f t="shared" si="9"/>
        <v>29831.354872000004</v>
      </c>
      <c r="E27" s="29">
        <f t="shared" si="9"/>
        <v>30207.154871999999</v>
      </c>
      <c r="F27" s="29">
        <f t="shared" si="9"/>
        <v>29220.554872000001</v>
      </c>
      <c r="G27" s="29">
        <f t="shared" si="9"/>
        <v>24982.054872000001</v>
      </c>
      <c r="H27" s="29">
        <f t="shared" si="9"/>
        <v>28649.754872000005</v>
      </c>
      <c r="I27" s="29">
        <f t="shared" si="9"/>
        <v>22294.054872000001</v>
      </c>
      <c r="J27" s="29">
        <f t="shared" si="9"/>
        <v>24832.454872000002</v>
      </c>
      <c r="K27" s="29">
        <f t="shared" si="9"/>
        <v>22293.054872000001</v>
      </c>
      <c r="L27" s="29">
        <f t="shared" si="9"/>
        <v>24021.554872000001</v>
      </c>
      <c r="M27" s="29">
        <f t="shared" si="9"/>
        <v>32422.954872000006</v>
      </c>
      <c r="N27" s="43">
        <f t="shared" si="8"/>
        <v>329278.80846400006</v>
      </c>
      <c r="O27" s="13"/>
    </row>
    <row r="28" spans="1:15" x14ac:dyDescent="0.25">
      <c r="A28" s="7" t="s">
        <v>24</v>
      </c>
      <c r="B28" s="29">
        <f t="shared" ref="B28:M28" si="10">SUM(B19+B27)</f>
        <v>30734.104872000004</v>
      </c>
      <c r="C28" s="29">
        <f t="shared" si="10"/>
        <v>29789.754872000005</v>
      </c>
      <c r="D28" s="29">
        <f t="shared" si="10"/>
        <v>29831.354872000004</v>
      </c>
      <c r="E28" s="29">
        <f t="shared" si="10"/>
        <v>30207.154871999999</v>
      </c>
      <c r="F28" s="29">
        <f t="shared" si="10"/>
        <v>29220.554872000001</v>
      </c>
      <c r="G28" s="29">
        <f t="shared" si="10"/>
        <v>24982.054872000001</v>
      </c>
      <c r="H28" s="29">
        <f t="shared" si="10"/>
        <v>28649.754872000005</v>
      </c>
      <c r="I28" s="29">
        <f t="shared" si="10"/>
        <v>22294.054872000001</v>
      </c>
      <c r="J28" s="29">
        <f t="shared" si="10"/>
        <v>24832.454872000002</v>
      </c>
      <c r="K28" s="29">
        <f t="shared" si="10"/>
        <v>22293.054872000001</v>
      </c>
      <c r="L28" s="29">
        <f t="shared" si="10"/>
        <v>24021.554872000001</v>
      </c>
      <c r="M28" s="29">
        <f t="shared" si="10"/>
        <v>32422.954872000006</v>
      </c>
      <c r="N28" s="43">
        <f>SUM(B28:M28)</f>
        <v>329278.80846400006</v>
      </c>
      <c r="O28" s="13"/>
    </row>
    <row r="29" spans="1:15" x14ac:dyDescent="0.25">
      <c r="A29" s="7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4"/>
      <c r="O29" s="13"/>
    </row>
    <row r="30" spans="1:15" x14ac:dyDescent="0.25">
      <c r="A30" s="7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5"/>
      <c r="O30" s="13"/>
    </row>
    <row r="31" spans="1:15" x14ac:dyDescent="0.25">
      <c r="A31" s="7" t="s">
        <v>25</v>
      </c>
      <c r="B31" s="29">
        <f>'YE 2021'!$M$33</f>
        <v>26933.400000000038</v>
      </c>
      <c r="C31" s="29">
        <f t="shared" ref="C31:M31" si="11">SUM(B33)</f>
        <v>43011.305128000036</v>
      </c>
      <c r="D31" s="29">
        <f t="shared" si="11"/>
        <v>39913.560256000026</v>
      </c>
      <c r="E31" s="29">
        <f t="shared" si="11"/>
        <v>38004.215384000025</v>
      </c>
      <c r="F31" s="29">
        <f t="shared" si="11"/>
        <v>57147.320512000028</v>
      </c>
      <c r="G31" s="29">
        <f t="shared" si="11"/>
        <v>73942.025640000036</v>
      </c>
      <c r="H31" s="29">
        <f t="shared" si="11"/>
        <v>76881.980768000038</v>
      </c>
      <c r="I31" s="29">
        <f t="shared" si="11"/>
        <v>86430.485896000027</v>
      </c>
      <c r="J31" s="29">
        <f t="shared" si="11"/>
        <v>76428.441024000029</v>
      </c>
      <c r="K31" s="29">
        <f t="shared" si="11"/>
        <v>72379.496152000022</v>
      </c>
      <c r="L31" s="29">
        <f t="shared" si="11"/>
        <v>61656.951280000023</v>
      </c>
      <c r="M31" s="29">
        <f t="shared" si="11"/>
        <v>51857.906408000024</v>
      </c>
      <c r="N31" s="33"/>
      <c r="O31" s="13"/>
    </row>
    <row r="32" spans="1:15" x14ac:dyDescent="0.25">
      <c r="A32" s="7" t="s">
        <v>26</v>
      </c>
      <c r="B32" s="29">
        <f t="shared" ref="B32:M32" si="12">SUM(B17-B28)</f>
        <v>16077.905127999999</v>
      </c>
      <c r="C32" s="29">
        <f t="shared" si="12"/>
        <v>-3097.7448720000066</v>
      </c>
      <c r="D32" s="29">
        <f t="shared" si="12"/>
        <v>-1909.3448720000051</v>
      </c>
      <c r="E32" s="29">
        <f t="shared" si="12"/>
        <v>19143.105128000003</v>
      </c>
      <c r="F32" s="29">
        <f t="shared" si="12"/>
        <v>16794.705128000001</v>
      </c>
      <c r="G32" s="29">
        <f t="shared" si="12"/>
        <v>2939.9551279999978</v>
      </c>
      <c r="H32" s="29">
        <f t="shared" si="12"/>
        <v>9548.5051279999971</v>
      </c>
      <c r="I32" s="29">
        <f t="shared" si="12"/>
        <v>-10002.044872</v>
      </c>
      <c r="J32" s="29">
        <f t="shared" si="12"/>
        <v>-4048.9448720000037</v>
      </c>
      <c r="K32" s="29">
        <f t="shared" si="12"/>
        <v>-10722.544872</v>
      </c>
      <c r="L32" s="29">
        <f t="shared" si="12"/>
        <v>-9799.0448720000004</v>
      </c>
      <c r="M32" s="29">
        <f t="shared" si="12"/>
        <v>-14310.694872000007</v>
      </c>
      <c r="N32" s="34"/>
      <c r="O32" s="13"/>
    </row>
    <row r="33" spans="1:15" x14ac:dyDescent="0.25">
      <c r="A33" s="7" t="s">
        <v>27</v>
      </c>
      <c r="B33" s="29">
        <f>SUM(B31+B32)</f>
        <v>43011.305128000036</v>
      </c>
      <c r="C33" s="29">
        <f t="shared" ref="C33:M33" si="13">SUM(C31+C32)</f>
        <v>39913.560256000026</v>
      </c>
      <c r="D33" s="29">
        <f t="shared" si="13"/>
        <v>38004.215384000025</v>
      </c>
      <c r="E33" s="29">
        <f t="shared" si="13"/>
        <v>57147.320512000028</v>
      </c>
      <c r="F33" s="29">
        <f t="shared" si="13"/>
        <v>73942.025640000036</v>
      </c>
      <c r="G33" s="29">
        <f t="shared" si="13"/>
        <v>76881.980768000038</v>
      </c>
      <c r="H33" s="29">
        <f t="shared" si="13"/>
        <v>86430.485896000027</v>
      </c>
      <c r="I33" s="29">
        <f t="shared" si="13"/>
        <v>76428.441024000029</v>
      </c>
      <c r="J33" s="29">
        <f t="shared" si="13"/>
        <v>72379.496152000022</v>
      </c>
      <c r="K33" s="29">
        <f t="shared" si="13"/>
        <v>61656.951280000023</v>
      </c>
      <c r="L33" s="29">
        <f t="shared" si="13"/>
        <v>51857.906408000024</v>
      </c>
      <c r="M33" s="29">
        <f t="shared" si="13"/>
        <v>37547.211536000017</v>
      </c>
      <c r="N33" s="34"/>
      <c r="O33" s="13"/>
    </row>
    <row r="34" spans="1:15" x14ac:dyDescent="0.25">
      <c r="A34" s="1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12"/>
      <c r="O34" s="10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topLeftCell="A9" zoomScale="97" zoomScaleNormal="97" workbookViewId="0">
      <selection activeCell="C15" sqref="C15:M15"/>
    </sheetView>
  </sheetViews>
  <sheetFormatPr defaultColWidth="9.28515625" defaultRowHeight="15" x14ac:dyDescent="0.25"/>
  <cols>
    <col min="1" max="1" width="27" style="5" customWidth="1"/>
    <col min="2" max="3" width="10.28515625" style="5" bestFit="1" customWidth="1"/>
    <col min="4" max="14" width="9.28515625" style="5" customWidth="1"/>
    <col min="15" max="15" width="3.5703125" style="5" customWidth="1"/>
    <col min="16" max="16" width="15.28515625" style="5" customWidth="1"/>
    <col min="17" max="16384" width="9.28515625" style="5"/>
  </cols>
  <sheetData>
    <row r="1" spans="1:16" x14ac:dyDescent="0.25">
      <c r="A1" s="7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x14ac:dyDescent="0.25">
      <c r="A2" s="7"/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3</v>
      </c>
      <c r="O2" s="8"/>
    </row>
    <row r="3" spans="1:16" x14ac:dyDescent="0.25">
      <c r="A3" s="9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3"/>
      <c r="O3" s="13"/>
    </row>
    <row r="4" spans="1:16" x14ac:dyDescent="0.25">
      <c r="A4" s="7" t="s">
        <v>17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3"/>
      <c r="O4" s="13"/>
    </row>
    <row r="5" spans="1:16" ht="15.75" thickBot="1" x14ac:dyDescent="0.3">
      <c r="A5" s="8" t="s">
        <v>71</v>
      </c>
      <c r="B5" s="32">
        <v>0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3">
        <f t="shared" ref="N5:N6" si="0">SUM(B5:M5)</f>
        <v>0</v>
      </c>
      <c r="O5" s="8"/>
    </row>
    <row r="6" spans="1:16" x14ac:dyDescent="0.25">
      <c r="A6" s="28" t="s">
        <v>73</v>
      </c>
      <c r="B6" s="29">
        <v>0</v>
      </c>
      <c r="C6" s="29">
        <v>0</v>
      </c>
      <c r="D6" s="29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3">
        <f t="shared" si="0"/>
        <v>0</v>
      </c>
      <c r="O6" s="8"/>
    </row>
    <row r="7" spans="1:16" x14ac:dyDescent="0.25">
      <c r="A7" s="7" t="s">
        <v>18</v>
      </c>
      <c r="B7" s="29">
        <f t="shared" ref="B7:N7" si="1">SUM(B5:B6)</f>
        <v>0</v>
      </c>
      <c r="C7" s="29">
        <f t="shared" si="1"/>
        <v>0</v>
      </c>
      <c r="D7" s="29">
        <f t="shared" si="1"/>
        <v>0</v>
      </c>
      <c r="E7" s="29">
        <f t="shared" si="1"/>
        <v>0</v>
      </c>
      <c r="F7" s="29">
        <f t="shared" si="1"/>
        <v>0</v>
      </c>
      <c r="G7" s="29">
        <f t="shared" si="1"/>
        <v>0</v>
      </c>
      <c r="H7" s="29">
        <f t="shared" si="1"/>
        <v>0</v>
      </c>
      <c r="I7" s="29">
        <f t="shared" si="1"/>
        <v>0</v>
      </c>
      <c r="J7" s="29">
        <f t="shared" si="1"/>
        <v>0</v>
      </c>
      <c r="K7" s="29">
        <f t="shared" si="1"/>
        <v>0</v>
      </c>
      <c r="L7" s="29">
        <f t="shared" si="1"/>
        <v>0</v>
      </c>
      <c r="M7" s="29">
        <f t="shared" si="1"/>
        <v>0</v>
      </c>
      <c r="N7" s="33">
        <f t="shared" si="1"/>
        <v>0</v>
      </c>
      <c r="O7" s="8"/>
      <c r="P7" s="6"/>
    </row>
    <row r="8" spans="1:16" x14ac:dyDescent="0.25">
      <c r="A8" s="7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3"/>
      <c r="O8" s="8"/>
      <c r="P8" s="6"/>
    </row>
    <row r="9" spans="1:16" x14ac:dyDescent="0.25">
      <c r="A9" s="7" t="s">
        <v>19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3"/>
      <c r="O9" s="8"/>
    </row>
    <row r="10" spans="1:16" x14ac:dyDescent="0.25">
      <c r="A10" s="8" t="s">
        <v>20</v>
      </c>
      <c r="B10" s="45">
        <f>Cafe!$B$62</f>
        <v>12575</v>
      </c>
      <c r="C10" s="45">
        <f>Cafe!$C$62</f>
        <v>10650</v>
      </c>
      <c r="D10" s="45">
        <f>Cafe!$D$62</f>
        <v>8850</v>
      </c>
      <c r="E10" s="45">
        <f>Cafe!C62</f>
        <v>10650</v>
      </c>
      <c r="F10" s="45">
        <f>Cafe!F62</f>
        <v>17712.5</v>
      </c>
      <c r="G10" s="45">
        <f>Cafe!G62</f>
        <v>10650</v>
      </c>
      <c r="H10" s="45">
        <f>Cafe!H62</f>
        <v>10325</v>
      </c>
      <c r="I10" s="45">
        <f>Cafe!I62</f>
        <v>4725</v>
      </c>
      <c r="J10" s="45">
        <f>Cafe!J62</f>
        <v>9825</v>
      </c>
      <c r="K10" s="45">
        <f>Cafe!K62</f>
        <v>4350</v>
      </c>
      <c r="L10" s="45">
        <f>Cafe!L62</f>
        <v>4087.5</v>
      </c>
      <c r="M10" s="45">
        <f>Cafe!M62</f>
        <v>9000</v>
      </c>
      <c r="N10" s="33">
        <f>SUM(B10:M10)</f>
        <v>113400</v>
      </c>
      <c r="O10" s="8"/>
    </row>
    <row r="11" spans="1:16" x14ac:dyDescent="0.25">
      <c r="A11" s="15" t="s">
        <v>99</v>
      </c>
      <c r="B11" s="45">
        <f>Theatre!B37</f>
        <v>14430</v>
      </c>
      <c r="C11" s="45">
        <f>Theatre!C37</f>
        <v>2030</v>
      </c>
      <c r="D11" s="45">
        <f>Theatre!D37</f>
        <v>1430</v>
      </c>
      <c r="E11" s="45">
        <f>Theatre!E37</f>
        <v>13135</v>
      </c>
      <c r="F11" s="45">
        <f>Theatre!F37</f>
        <v>700</v>
      </c>
      <c r="G11" s="45">
        <f>Theatre!G37</f>
        <v>2030</v>
      </c>
      <c r="H11" s="45">
        <f>Theatre!H37</f>
        <v>15055</v>
      </c>
      <c r="I11" s="45">
        <f>Theatre!I37</f>
        <v>1430</v>
      </c>
      <c r="J11" s="45">
        <f>Theatre!J37</f>
        <v>1895</v>
      </c>
      <c r="K11" s="45">
        <f>Theatre!K37</f>
        <v>1430</v>
      </c>
      <c r="L11" s="45">
        <f>Theatre!L37</f>
        <v>4430</v>
      </c>
      <c r="M11" s="45">
        <f>Theatre!M37</f>
        <v>2030</v>
      </c>
      <c r="N11" s="33">
        <f>SUM(B11:M11)</f>
        <v>60025</v>
      </c>
      <c r="O11" s="8"/>
    </row>
    <row r="12" spans="1:16" x14ac:dyDescent="0.25">
      <c r="A12" s="15" t="s">
        <v>100</v>
      </c>
      <c r="B12" s="45">
        <f>'Soft Play'!B21</f>
        <v>2745</v>
      </c>
      <c r="C12" s="45">
        <f>'Soft Play'!C21</f>
        <v>2745</v>
      </c>
      <c r="D12" s="45">
        <f>'Soft Play'!D21</f>
        <v>2745</v>
      </c>
      <c r="E12" s="45">
        <f>'Soft Play'!E21</f>
        <v>2832.5</v>
      </c>
      <c r="F12" s="45">
        <f>'Soft Play'!F21</f>
        <v>2832.5</v>
      </c>
      <c r="G12" s="45">
        <f>'Soft Play'!G21</f>
        <v>2745</v>
      </c>
      <c r="H12" s="45">
        <f>'Soft Play'!H21</f>
        <v>2832.5</v>
      </c>
      <c r="I12" s="45">
        <f>'Soft Play'!I21</f>
        <v>2745</v>
      </c>
      <c r="J12" s="45">
        <f>'Soft Play'!J21</f>
        <v>2220</v>
      </c>
      <c r="K12" s="45">
        <f>'Soft Play'!K21</f>
        <v>2220</v>
      </c>
      <c r="L12" s="45">
        <f>'Soft Play'!L21</f>
        <v>2570</v>
      </c>
      <c r="M12" s="45">
        <f>'Soft Play'!M21</f>
        <v>2832.5</v>
      </c>
      <c r="N12" s="33">
        <f t="shared" ref="N12:N15" si="2">SUM(B12:M12)</f>
        <v>32065</v>
      </c>
      <c r="O12" s="8"/>
    </row>
    <row r="13" spans="1:16" x14ac:dyDescent="0.25">
      <c r="A13" s="15" t="s">
        <v>102</v>
      </c>
      <c r="B13" s="45">
        <f>Bunkhouse!B40</f>
        <v>21000</v>
      </c>
      <c r="C13" s="45">
        <f>Bunkhouse!C40</f>
        <v>10850</v>
      </c>
      <c r="D13" s="45">
        <f>Bunkhouse!D40</f>
        <v>14700</v>
      </c>
      <c r="E13" s="45">
        <f>Bunkhouse!E40</f>
        <v>26040</v>
      </c>
      <c r="F13" s="45">
        <f>Bunkhouse!F40</f>
        <v>26040</v>
      </c>
      <c r="G13" s="45">
        <f>Bunkhouse!G40</f>
        <v>14700</v>
      </c>
      <c r="H13" s="45">
        <f>Bunkhouse!H40</f>
        <v>10850</v>
      </c>
      <c r="I13" s="45">
        <f>Bunkhouse!I40</f>
        <v>2100</v>
      </c>
      <c r="J13" s="45">
        <f>Bunkhouse!J40</f>
        <v>5880</v>
      </c>
      <c r="K13" s="45">
        <f>Bunkhouse!K40</f>
        <v>2170</v>
      </c>
      <c r="L13" s="45">
        <f>Bunkhouse!L40</f>
        <v>1960</v>
      </c>
      <c r="M13" s="45">
        <f>Bunkhouse!M40</f>
        <v>3255</v>
      </c>
      <c r="N13" s="33">
        <f t="shared" si="2"/>
        <v>139545</v>
      </c>
      <c r="O13" s="8"/>
    </row>
    <row r="14" spans="1:16" x14ac:dyDescent="0.25">
      <c r="A14" s="15" t="s">
        <v>174</v>
      </c>
      <c r="B14" s="29">
        <f>SUM(1288)/100*103</f>
        <v>1326.64</v>
      </c>
      <c r="C14" s="29">
        <f t="shared" ref="C14:M14" si="3">SUM(1288)/100*103</f>
        <v>1326.64</v>
      </c>
      <c r="D14" s="29">
        <f t="shared" si="3"/>
        <v>1326.64</v>
      </c>
      <c r="E14" s="29">
        <f t="shared" si="3"/>
        <v>1326.64</v>
      </c>
      <c r="F14" s="29">
        <f t="shared" si="3"/>
        <v>1326.64</v>
      </c>
      <c r="G14" s="29">
        <f t="shared" si="3"/>
        <v>1326.64</v>
      </c>
      <c r="H14" s="29">
        <f t="shared" si="3"/>
        <v>1326.64</v>
      </c>
      <c r="I14" s="29">
        <f t="shared" si="3"/>
        <v>1326.64</v>
      </c>
      <c r="J14" s="29">
        <f t="shared" si="3"/>
        <v>1326.64</v>
      </c>
      <c r="K14" s="29">
        <f t="shared" si="3"/>
        <v>1326.64</v>
      </c>
      <c r="L14" s="29">
        <f t="shared" si="3"/>
        <v>1326.64</v>
      </c>
      <c r="M14" s="29">
        <f t="shared" si="3"/>
        <v>1326.64</v>
      </c>
      <c r="N14" s="33">
        <f t="shared" si="2"/>
        <v>15919.679999999998</v>
      </c>
      <c r="O14" s="8"/>
    </row>
    <row r="15" spans="1:16" x14ac:dyDescent="0.25">
      <c r="A15" s="8" t="s">
        <v>189</v>
      </c>
      <c r="B15" s="29">
        <f>SUM(687/100*103)</f>
        <v>707.61</v>
      </c>
      <c r="C15" s="29">
        <f t="shared" ref="C15:M15" si="4">SUM(687/100*103)</f>
        <v>707.61</v>
      </c>
      <c r="D15" s="29">
        <f t="shared" si="4"/>
        <v>707.61</v>
      </c>
      <c r="E15" s="29">
        <f t="shared" si="4"/>
        <v>707.61</v>
      </c>
      <c r="F15" s="29">
        <f t="shared" si="4"/>
        <v>707.61</v>
      </c>
      <c r="G15" s="29">
        <f t="shared" si="4"/>
        <v>707.61</v>
      </c>
      <c r="H15" s="29">
        <f t="shared" si="4"/>
        <v>707.61</v>
      </c>
      <c r="I15" s="29">
        <f t="shared" si="4"/>
        <v>707.61</v>
      </c>
      <c r="J15" s="29">
        <f t="shared" si="4"/>
        <v>707.61</v>
      </c>
      <c r="K15" s="29">
        <f t="shared" si="4"/>
        <v>707.61</v>
      </c>
      <c r="L15" s="29">
        <f t="shared" si="4"/>
        <v>707.61</v>
      </c>
      <c r="M15" s="29">
        <f t="shared" si="4"/>
        <v>707.61</v>
      </c>
      <c r="N15" s="33">
        <f t="shared" si="2"/>
        <v>8491.3199999999979</v>
      </c>
      <c r="O15" s="13"/>
    </row>
    <row r="16" spans="1:16" x14ac:dyDescent="0.25">
      <c r="A16" s="8" t="s">
        <v>21</v>
      </c>
      <c r="B16" s="31">
        <f t="shared" ref="B16:M16" si="5">SUM(B10:B15)</f>
        <v>52784.25</v>
      </c>
      <c r="C16" s="31">
        <f t="shared" si="5"/>
        <v>28309.25</v>
      </c>
      <c r="D16" s="31">
        <f t="shared" si="5"/>
        <v>29759.25</v>
      </c>
      <c r="E16" s="31">
        <f t="shared" si="5"/>
        <v>54691.75</v>
      </c>
      <c r="F16" s="31">
        <f t="shared" si="5"/>
        <v>49319.25</v>
      </c>
      <c r="G16" s="31">
        <f t="shared" si="5"/>
        <v>32159.25</v>
      </c>
      <c r="H16" s="31">
        <f t="shared" si="5"/>
        <v>41096.75</v>
      </c>
      <c r="I16" s="31">
        <f t="shared" si="5"/>
        <v>13034.25</v>
      </c>
      <c r="J16" s="31">
        <f t="shared" si="5"/>
        <v>21854.25</v>
      </c>
      <c r="K16" s="31">
        <f t="shared" si="5"/>
        <v>12204.25</v>
      </c>
      <c r="L16" s="31">
        <f t="shared" si="5"/>
        <v>15081.75</v>
      </c>
      <c r="M16" s="31">
        <f t="shared" si="5"/>
        <v>19151.75</v>
      </c>
      <c r="N16" s="43">
        <f>SUM(B16:M16)</f>
        <v>369446</v>
      </c>
      <c r="O16" s="13"/>
    </row>
    <row r="17" spans="1:15" x14ac:dyDescent="0.25">
      <c r="A17" s="7" t="s">
        <v>22</v>
      </c>
      <c r="B17" s="29">
        <f t="shared" ref="B17:N17" si="6">SUM(B7+B16)</f>
        <v>52784.25</v>
      </c>
      <c r="C17" s="29">
        <f t="shared" si="6"/>
        <v>28309.25</v>
      </c>
      <c r="D17" s="29">
        <f t="shared" si="6"/>
        <v>29759.25</v>
      </c>
      <c r="E17" s="29">
        <f t="shared" si="6"/>
        <v>54691.75</v>
      </c>
      <c r="F17" s="29">
        <f t="shared" si="6"/>
        <v>49319.25</v>
      </c>
      <c r="G17" s="29">
        <f t="shared" si="6"/>
        <v>32159.25</v>
      </c>
      <c r="H17" s="29">
        <f t="shared" si="6"/>
        <v>41096.75</v>
      </c>
      <c r="I17" s="29">
        <f t="shared" si="6"/>
        <v>13034.25</v>
      </c>
      <c r="J17" s="29">
        <f t="shared" si="6"/>
        <v>21854.25</v>
      </c>
      <c r="K17" s="29">
        <f t="shared" si="6"/>
        <v>12204.25</v>
      </c>
      <c r="L17" s="29">
        <f t="shared" si="6"/>
        <v>15081.75</v>
      </c>
      <c r="M17" s="29">
        <f t="shared" si="6"/>
        <v>19151.75</v>
      </c>
      <c r="N17" s="43">
        <f t="shared" si="6"/>
        <v>369446</v>
      </c>
      <c r="O17" s="13"/>
    </row>
    <row r="18" spans="1:15" x14ac:dyDescent="0.25">
      <c r="A18" s="7" t="s">
        <v>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3"/>
      <c r="O18" s="13"/>
    </row>
    <row r="19" spans="1:15" x14ac:dyDescent="0.25">
      <c r="A19" s="8" t="s">
        <v>72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3">
        <f t="shared" ref="N19:N20" si="7">SUM(B19:M19)</f>
        <v>0</v>
      </c>
      <c r="O19" s="13"/>
    </row>
    <row r="20" spans="1:15" x14ac:dyDescent="0.25">
      <c r="A20" s="8" t="s">
        <v>28</v>
      </c>
      <c r="B20" s="29">
        <f>SUM(10585/100*103)</f>
        <v>10902.55</v>
      </c>
      <c r="C20" s="29">
        <f t="shared" ref="C20:M20" si="8">SUM(10585/100*103)</f>
        <v>10902.55</v>
      </c>
      <c r="D20" s="29">
        <f t="shared" si="8"/>
        <v>10902.55</v>
      </c>
      <c r="E20" s="29">
        <f t="shared" si="8"/>
        <v>10902.55</v>
      </c>
      <c r="F20" s="29">
        <f t="shared" si="8"/>
        <v>10902.55</v>
      </c>
      <c r="G20" s="29">
        <f t="shared" si="8"/>
        <v>10902.55</v>
      </c>
      <c r="H20" s="29">
        <f t="shared" si="8"/>
        <v>10902.55</v>
      </c>
      <c r="I20" s="29">
        <f t="shared" si="8"/>
        <v>10902.55</v>
      </c>
      <c r="J20" s="29">
        <f t="shared" si="8"/>
        <v>10902.55</v>
      </c>
      <c r="K20" s="29">
        <f t="shared" si="8"/>
        <v>10902.55</v>
      </c>
      <c r="L20" s="29">
        <f t="shared" si="8"/>
        <v>10902.55</v>
      </c>
      <c r="M20" s="29">
        <f t="shared" si="8"/>
        <v>10902.55</v>
      </c>
      <c r="N20" s="33">
        <f t="shared" si="7"/>
        <v>130830.60000000002</v>
      </c>
      <c r="O20" s="13"/>
    </row>
    <row r="21" spans="1:15" x14ac:dyDescent="0.25">
      <c r="A21" s="8" t="s">
        <v>152</v>
      </c>
      <c r="B21" s="29">
        <f>SUM(3382/100*103)</f>
        <v>3483.46</v>
      </c>
      <c r="C21" s="29">
        <f t="shared" ref="C21:M21" si="9">SUM(3382/100*103)</f>
        <v>3483.46</v>
      </c>
      <c r="D21" s="29">
        <f t="shared" si="9"/>
        <v>3483.46</v>
      </c>
      <c r="E21" s="29">
        <f t="shared" si="9"/>
        <v>3483.46</v>
      </c>
      <c r="F21" s="29">
        <f t="shared" si="9"/>
        <v>3483.46</v>
      </c>
      <c r="G21" s="29">
        <f t="shared" si="9"/>
        <v>3483.46</v>
      </c>
      <c r="H21" s="29">
        <f t="shared" si="9"/>
        <v>3483.46</v>
      </c>
      <c r="I21" s="29">
        <f t="shared" si="9"/>
        <v>3483.46</v>
      </c>
      <c r="J21" s="29">
        <f t="shared" si="9"/>
        <v>3483.46</v>
      </c>
      <c r="K21" s="29">
        <f t="shared" si="9"/>
        <v>3483.46</v>
      </c>
      <c r="L21" s="29">
        <f t="shared" si="9"/>
        <v>3483.46</v>
      </c>
      <c r="M21" s="29">
        <f t="shared" si="9"/>
        <v>3483.46</v>
      </c>
      <c r="N21" s="33">
        <f>SUM(B21:M21)</f>
        <v>41801.519999999997</v>
      </c>
      <c r="O21" s="13"/>
    </row>
    <row r="22" spans="1:15" x14ac:dyDescent="0.25">
      <c r="A22" s="15" t="s">
        <v>99</v>
      </c>
      <c r="B22" s="29">
        <f>Theatre!B42</f>
        <v>5300</v>
      </c>
      <c r="C22" s="29">
        <f>Theatre!C42</f>
        <v>0</v>
      </c>
      <c r="D22" s="29">
        <f>Theatre!D42</f>
        <v>0</v>
      </c>
      <c r="E22" s="29">
        <f>Theatre!E42</f>
        <v>5300</v>
      </c>
      <c r="F22" s="29">
        <f>Theatre!F42</f>
        <v>0</v>
      </c>
      <c r="G22" s="29">
        <f>Theatre!G42</f>
        <v>0</v>
      </c>
      <c r="H22" s="29">
        <f>Theatre!H42</f>
        <v>5300</v>
      </c>
      <c r="I22" s="29">
        <f>Theatre!I42</f>
        <v>0</v>
      </c>
      <c r="J22" s="29">
        <f>Theatre!J42</f>
        <v>0</v>
      </c>
      <c r="K22" s="29">
        <f>Theatre!K42</f>
        <v>0</v>
      </c>
      <c r="L22" s="29">
        <f>Theatre!L42</f>
        <v>1450</v>
      </c>
      <c r="M22" s="29">
        <f>Theatre!M42</f>
        <v>3000</v>
      </c>
      <c r="N22" s="33">
        <f>SUM(B22:M22)</f>
        <v>20350</v>
      </c>
      <c r="O22" s="13"/>
    </row>
    <row r="23" spans="1:15" x14ac:dyDescent="0.25">
      <c r="A23" s="15" t="s">
        <v>102</v>
      </c>
      <c r="B23" s="29">
        <f>Bunkhouse!B50</f>
        <v>4456.08</v>
      </c>
      <c r="C23" s="29">
        <f>Bunkhouse!C50</f>
        <v>3441.08</v>
      </c>
      <c r="D23" s="29">
        <f>Bunkhouse!D50</f>
        <v>3826.08</v>
      </c>
      <c r="E23" s="29">
        <f>Bunkhouse!E50</f>
        <v>4960.08</v>
      </c>
      <c r="F23" s="29">
        <f>Bunkhouse!F50</f>
        <v>4960.08</v>
      </c>
      <c r="G23" s="29">
        <f>Bunkhouse!G50</f>
        <v>3826.08</v>
      </c>
      <c r="H23" s="29">
        <f>Bunkhouse!H50</f>
        <v>3441.08</v>
      </c>
      <c r="I23" s="29">
        <f>Bunkhouse!I50</f>
        <v>2566.08</v>
      </c>
      <c r="J23" s="29">
        <f>Bunkhouse!J50</f>
        <v>2944.08</v>
      </c>
      <c r="K23" s="29">
        <f>Bunkhouse!K50</f>
        <v>2573.08</v>
      </c>
      <c r="L23" s="29">
        <f>Bunkhouse!L50</f>
        <v>2552.08</v>
      </c>
      <c r="M23" s="29">
        <f>Bunkhouse!M50</f>
        <v>4181.58</v>
      </c>
      <c r="N23" s="33">
        <f t="shared" ref="N23:N27" si="10">SUM(B23:M23)</f>
        <v>43727.460000000014</v>
      </c>
      <c r="O23" s="13"/>
    </row>
    <row r="24" spans="1:15" x14ac:dyDescent="0.25">
      <c r="A24" s="15" t="s">
        <v>20</v>
      </c>
      <c r="B24" s="29">
        <f>Cafe!B73</f>
        <v>9845.0499999999993</v>
      </c>
      <c r="C24" s="29">
        <f>Cafe!C73</f>
        <v>8847.7000000000007</v>
      </c>
      <c r="D24" s="29">
        <f>Cafe!D73</f>
        <v>8026.3</v>
      </c>
      <c r="E24" s="29">
        <f>Cafe!E73</f>
        <v>8850.11</v>
      </c>
      <c r="F24" s="29">
        <f>Cafe!F73</f>
        <v>11571.3</v>
      </c>
      <c r="G24" s="29">
        <f>Cafe!G73</f>
        <v>8999.2999999999993</v>
      </c>
      <c r="H24" s="29">
        <f>Cafe!H73</f>
        <v>8717.7000000000007</v>
      </c>
      <c r="I24" s="29">
        <f>Cafe!I73</f>
        <v>6427</v>
      </c>
      <c r="J24" s="29">
        <f>Cafe!J73</f>
        <v>8669</v>
      </c>
      <c r="K24" s="29">
        <f>Cafe!K73</f>
        <v>6389.4000000000005</v>
      </c>
      <c r="L24" s="29">
        <f>Cafe!L73</f>
        <v>6222.7</v>
      </c>
      <c r="M24" s="29">
        <f>Cafe!M73</f>
        <v>10537</v>
      </c>
      <c r="N24" s="33">
        <f t="shared" si="10"/>
        <v>103102.56</v>
      </c>
      <c r="O24" s="13"/>
    </row>
    <row r="25" spans="1:15" x14ac:dyDescent="0.25">
      <c r="A25" s="8" t="s">
        <v>153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33">
        <f t="shared" si="10"/>
        <v>0</v>
      </c>
      <c r="O25" s="13"/>
    </row>
    <row r="26" spans="1:15" x14ac:dyDescent="0.25">
      <c r="A26" s="8" t="s">
        <v>176</v>
      </c>
      <c r="B26" s="29">
        <v>0</v>
      </c>
      <c r="C26" s="29">
        <v>1000</v>
      </c>
      <c r="D26" s="29">
        <v>1500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1000</v>
      </c>
      <c r="M26" s="29">
        <v>1500</v>
      </c>
      <c r="N26" s="33">
        <f t="shared" si="10"/>
        <v>5000</v>
      </c>
      <c r="O26" s="13"/>
    </row>
    <row r="27" spans="1:15" x14ac:dyDescent="0.25">
      <c r="A27" s="8" t="s">
        <v>21</v>
      </c>
      <c r="B27" s="29">
        <f>SUM(B20:B26)</f>
        <v>33987.14</v>
      </c>
      <c r="C27" s="29">
        <f t="shared" ref="C27:M27" si="11">SUM(C20:C26)</f>
        <v>27674.789999999997</v>
      </c>
      <c r="D27" s="29">
        <f t="shared" si="11"/>
        <v>27738.389999999996</v>
      </c>
      <c r="E27" s="29">
        <f t="shared" si="11"/>
        <v>33496.199999999997</v>
      </c>
      <c r="F27" s="29">
        <f t="shared" si="11"/>
        <v>30917.389999999996</v>
      </c>
      <c r="G27" s="29">
        <f t="shared" si="11"/>
        <v>27211.389999999996</v>
      </c>
      <c r="H27" s="29">
        <f t="shared" si="11"/>
        <v>31844.789999999997</v>
      </c>
      <c r="I27" s="29">
        <f t="shared" si="11"/>
        <v>23379.089999999997</v>
      </c>
      <c r="J27" s="29">
        <f t="shared" si="11"/>
        <v>25999.089999999997</v>
      </c>
      <c r="K27" s="29">
        <f t="shared" si="11"/>
        <v>23348.489999999998</v>
      </c>
      <c r="L27" s="29">
        <f t="shared" si="11"/>
        <v>25610.789999999997</v>
      </c>
      <c r="M27" s="29">
        <f t="shared" si="11"/>
        <v>33604.589999999997</v>
      </c>
      <c r="N27" s="43">
        <f t="shared" si="10"/>
        <v>344812.1399999999</v>
      </c>
      <c r="O27" s="13"/>
    </row>
    <row r="28" spans="1:15" x14ac:dyDescent="0.25">
      <c r="A28" s="7" t="s">
        <v>24</v>
      </c>
      <c r="B28" s="29">
        <f t="shared" ref="B28:M28" si="12">SUM(B19+B27)</f>
        <v>33987.14</v>
      </c>
      <c r="C28" s="29">
        <f t="shared" si="12"/>
        <v>27674.789999999997</v>
      </c>
      <c r="D28" s="29">
        <f t="shared" si="12"/>
        <v>27738.389999999996</v>
      </c>
      <c r="E28" s="29">
        <f t="shared" si="12"/>
        <v>33496.199999999997</v>
      </c>
      <c r="F28" s="29">
        <f t="shared" si="12"/>
        <v>30917.389999999996</v>
      </c>
      <c r="G28" s="29">
        <f t="shared" si="12"/>
        <v>27211.389999999996</v>
      </c>
      <c r="H28" s="29">
        <f t="shared" si="12"/>
        <v>31844.789999999997</v>
      </c>
      <c r="I28" s="29">
        <f t="shared" si="12"/>
        <v>23379.089999999997</v>
      </c>
      <c r="J28" s="29">
        <f t="shared" si="12"/>
        <v>25999.089999999997</v>
      </c>
      <c r="K28" s="29">
        <f t="shared" si="12"/>
        <v>23348.489999999998</v>
      </c>
      <c r="L28" s="29">
        <f t="shared" si="12"/>
        <v>25610.789999999997</v>
      </c>
      <c r="M28" s="29">
        <f t="shared" si="12"/>
        <v>33604.589999999997</v>
      </c>
      <c r="N28" s="43">
        <f>SUM(B28:M28)</f>
        <v>344812.1399999999</v>
      </c>
      <c r="O28" s="13"/>
    </row>
    <row r="29" spans="1:15" x14ac:dyDescent="0.25">
      <c r="A29" s="7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4"/>
      <c r="O29" s="13"/>
    </row>
    <row r="30" spans="1:15" x14ac:dyDescent="0.25">
      <c r="A30" s="7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5"/>
      <c r="O30" s="13"/>
    </row>
    <row r="31" spans="1:15" x14ac:dyDescent="0.25">
      <c r="A31" s="7" t="s">
        <v>25</v>
      </c>
      <c r="B31" s="29">
        <f>'YE 2022'!$M$33</f>
        <v>37547.211536000017</v>
      </c>
      <c r="C31" s="29">
        <f t="shared" ref="C31:M31" si="13">SUM(B33)</f>
        <v>56344.321536000018</v>
      </c>
      <c r="D31" s="29">
        <f t="shared" si="13"/>
        <v>56978.781536000024</v>
      </c>
      <c r="E31" s="29">
        <f t="shared" si="13"/>
        <v>58999.641536000025</v>
      </c>
      <c r="F31" s="29">
        <f t="shared" si="13"/>
        <v>80195.191536000028</v>
      </c>
      <c r="G31" s="29">
        <f t="shared" si="13"/>
        <v>98597.051536000028</v>
      </c>
      <c r="H31" s="29">
        <f t="shared" si="13"/>
        <v>103544.91153600003</v>
      </c>
      <c r="I31" s="29">
        <f t="shared" si="13"/>
        <v>112796.87153600004</v>
      </c>
      <c r="J31" s="29">
        <f t="shared" si="13"/>
        <v>102452.03153600004</v>
      </c>
      <c r="K31" s="29">
        <f t="shared" si="13"/>
        <v>98307.191536000042</v>
      </c>
      <c r="L31" s="29">
        <f t="shared" si="13"/>
        <v>87162.951536000037</v>
      </c>
      <c r="M31" s="29">
        <f t="shared" si="13"/>
        <v>76633.911536000043</v>
      </c>
      <c r="N31" s="33"/>
      <c r="O31" s="13"/>
    </row>
    <row r="32" spans="1:15" x14ac:dyDescent="0.25">
      <c r="A32" s="7" t="s">
        <v>26</v>
      </c>
      <c r="B32" s="29">
        <f t="shared" ref="B32:M32" si="14">SUM(B17-B28)</f>
        <v>18797.11</v>
      </c>
      <c r="C32" s="29">
        <f t="shared" si="14"/>
        <v>634.46000000000276</v>
      </c>
      <c r="D32" s="29">
        <f t="shared" si="14"/>
        <v>2020.8600000000042</v>
      </c>
      <c r="E32" s="29">
        <f t="shared" si="14"/>
        <v>21195.550000000003</v>
      </c>
      <c r="F32" s="29">
        <f t="shared" si="14"/>
        <v>18401.860000000004</v>
      </c>
      <c r="G32" s="29">
        <f t="shared" si="14"/>
        <v>4947.8600000000042</v>
      </c>
      <c r="H32" s="29">
        <f t="shared" si="14"/>
        <v>9251.9600000000028</v>
      </c>
      <c r="I32" s="29">
        <f t="shared" si="14"/>
        <v>-10344.839999999997</v>
      </c>
      <c r="J32" s="29">
        <f t="shared" si="14"/>
        <v>-4144.8399999999965</v>
      </c>
      <c r="K32" s="29">
        <f t="shared" si="14"/>
        <v>-11144.239999999998</v>
      </c>
      <c r="L32" s="29">
        <f t="shared" si="14"/>
        <v>-10529.039999999997</v>
      </c>
      <c r="M32" s="29">
        <f t="shared" si="14"/>
        <v>-14452.839999999997</v>
      </c>
      <c r="N32" s="34"/>
      <c r="O32" s="13"/>
    </row>
    <row r="33" spans="1:15" x14ac:dyDescent="0.25">
      <c r="A33" s="7" t="s">
        <v>27</v>
      </c>
      <c r="B33" s="29">
        <f>SUM(B31+B32)</f>
        <v>56344.321536000018</v>
      </c>
      <c r="C33" s="29">
        <f t="shared" ref="C33:M33" si="15">SUM(C31+C32)</f>
        <v>56978.781536000024</v>
      </c>
      <c r="D33" s="29">
        <f t="shared" si="15"/>
        <v>58999.641536000025</v>
      </c>
      <c r="E33" s="29">
        <f t="shared" si="15"/>
        <v>80195.191536000028</v>
      </c>
      <c r="F33" s="29">
        <f t="shared" si="15"/>
        <v>98597.051536000028</v>
      </c>
      <c r="G33" s="29">
        <f t="shared" si="15"/>
        <v>103544.91153600003</v>
      </c>
      <c r="H33" s="29">
        <f t="shared" si="15"/>
        <v>112796.87153600004</v>
      </c>
      <c r="I33" s="29">
        <f t="shared" si="15"/>
        <v>102452.03153600004</v>
      </c>
      <c r="J33" s="29">
        <f t="shared" si="15"/>
        <v>98307.191536000042</v>
      </c>
      <c r="K33" s="29">
        <f t="shared" si="15"/>
        <v>87162.951536000037</v>
      </c>
      <c r="L33" s="29">
        <f t="shared" si="15"/>
        <v>76633.911536000043</v>
      </c>
      <c r="M33" s="29">
        <f t="shared" si="15"/>
        <v>62181.071536000047</v>
      </c>
      <c r="N33" s="34"/>
      <c r="O33" s="13"/>
    </row>
    <row r="34" spans="1:15" x14ac:dyDescent="0.25">
      <c r="A34" s="1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12"/>
      <c r="O34" s="10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topLeftCell="A12" workbookViewId="0">
      <selection activeCell="C15" sqref="C15:M15"/>
    </sheetView>
  </sheetViews>
  <sheetFormatPr defaultColWidth="9.28515625" defaultRowHeight="15" x14ac:dyDescent="0.25"/>
  <cols>
    <col min="1" max="1" width="27" style="5" customWidth="1"/>
    <col min="2" max="3" width="10.28515625" style="5" bestFit="1" customWidth="1"/>
    <col min="4" max="14" width="9.28515625" style="5"/>
    <col min="15" max="15" width="3.5703125" style="5" customWidth="1"/>
    <col min="16" max="16" width="15.28515625" style="5" customWidth="1"/>
    <col min="17" max="16384" width="9.28515625" style="5"/>
  </cols>
  <sheetData>
    <row r="1" spans="1:16" x14ac:dyDescent="0.25">
      <c r="A1" s="7" t="s">
        <v>191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x14ac:dyDescent="0.25">
      <c r="A2" s="7"/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3</v>
      </c>
      <c r="O2" s="8"/>
    </row>
    <row r="3" spans="1:16" x14ac:dyDescent="0.25">
      <c r="A3" s="9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3"/>
      <c r="O3" s="13"/>
    </row>
    <row r="4" spans="1:16" x14ac:dyDescent="0.25">
      <c r="A4" s="7" t="s">
        <v>17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3"/>
      <c r="O4" s="13"/>
    </row>
    <row r="5" spans="1:16" ht="15.75" thickBot="1" x14ac:dyDescent="0.3">
      <c r="A5" s="8" t="s">
        <v>71</v>
      </c>
      <c r="B5" s="32">
        <v>0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3">
        <f t="shared" ref="N5:N6" si="0">SUM(B5:M5)</f>
        <v>0</v>
      </c>
      <c r="O5" s="8"/>
    </row>
    <row r="6" spans="1:16" x14ac:dyDescent="0.25">
      <c r="A6" s="28" t="s">
        <v>73</v>
      </c>
      <c r="B6" s="29">
        <v>0</v>
      </c>
      <c r="C6" s="29">
        <v>0</v>
      </c>
      <c r="D6" s="29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3">
        <f t="shared" si="0"/>
        <v>0</v>
      </c>
      <c r="O6" s="8"/>
    </row>
    <row r="7" spans="1:16" x14ac:dyDescent="0.25">
      <c r="A7" s="7" t="s">
        <v>18</v>
      </c>
      <c r="B7" s="29">
        <f t="shared" ref="B7:N7" si="1">SUM(B5:B6)</f>
        <v>0</v>
      </c>
      <c r="C7" s="29">
        <f t="shared" si="1"/>
        <v>0</v>
      </c>
      <c r="D7" s="29">
        <f t="shared" si="1"/>
        <v>0</v>
      </c>
      <c r="E7" s="29">
        <f t="shared" si="1"/>
        <v>0</v>
      </c>
      <c r="F7" s="29">
        <f t="shared" si="1"/>
        <v>0</v>
      </c>
      <c r="G7" s="29">
        <f t="shared" si="1"/>
        <v>0</v>
      </c>
      <c r="H7" s="29">
        <f t="shared" si="1"/>
        <v>0</v>
      </c>
      <c r="I7" s="29">
        <f t="shared" si="1"/>
        <v>0</v>
      </c>
      <c r="J7" s="29">
        <f t="shared" si="1"/>
        <v>0</v>
      </c>
      <c r="K7" s="29">
        <f t="shared" si="1"/>
        <v>0</v>
      </c>
      <c r="L7" s="29">
        <f t="shared" si="1"/>
        <v>0</v>
      </c>
      <c r="M7" s="29">
        <f t="shared" si="1"/>
        <v>0</v>
      </c>
      <c r="N7" s="33">
        <f t="shared" si="1"/>
        <v>0</v>
      </c>
      <c r="O7" s="8"/>
      <c r="P7" s="6"/>
    </row>
    <row r="8" spans="1:16" x14ac:dyDescent="0.25">
      <c r="A8" s="7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3"/>
      <c r="O8" s="8"/>
      <c r="P8" s="6"/>
    </row>
    <row r="9" spans="1:16" x14ac:dyDescent="0.25">
      <c r="A9" s="7" t="s">
        <v>19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3"/>
      <c r="O9" s="8"/>
    </row>
    <row r="10" spans="1:16" x14ac:dyDescent="0.25">
      <c r="A10" s="8" t="s">
        <v>20</v>
      </c>
      <c r="B10" s="29">
        <f>Cafe!B88</f>
        <v>13412.5</v>
      </c>
      <c r="C10" s="29">
        <f>Cafe!C88</f>
        <v>11425</v>
      </c>
      <c r="D10" s="29">
        <f>Cafe!D88</f>
        <v>9325</v>
      </c>
      <c r="E10" s="29">
        <f>Cafe!E88</f>
        <v>11012.5</v>
      </c>
      <c r="F10" s="29">
        <f>Cafe!F88</f>
        <v>18625</v>
      </c>
      <c r="G10" s="29">
        <f>Cafe!G88</f>
        <v>11425</v>
      </c>
      <c r="H10" s="29">
        <f>Cafe!H88</f>
        <v>11012.5</v>
      </c>
      <c r="I10" s="29">
        <f>Cafe!I88</f>
        <v>5012.5</v>
      </c>
      <c r="J10" s="29">
        <f>Cafe!J88</f>
        <v>10537.5</v>
      </c>
      <c r="K10" s="29">
        <f>Cafe!K88</f>
        <v>4950</v>
      </c>
      <c r="L10" s="29">
        <f>Cafe!L88</f>
        <v>4418.75</v>
      </c>
      <c r="M10" s="29">
        <f>Cafe!M88</f>
        <v>9700</v>
      </c>
      <c r="N10" s="33">
        <f>SUM(B10:M10)</f>
        <v>120856.25</v>
      </c>
      <c r="O10" s="8"/>
    </row>
    <row r="11" spans="1:16" x14ac:dyDescent="0.25">
      <c r="A11" s="15" t="s">
        <v>99</v>
      </c>
      <c r="B11" s="29">
        <f>Theatre!B51</f>
        <v>17222.900000000001</v>
      </c>
      <c r="C11" s="29">
        <f>Theatre!C51</f>
        <v>2090.9</v>
      </c>
      <c r="D11" s="29">
        <f>Theatre!D51</f>
        <v>1472.9</v>
      </c>
      <c r="E11" s="29">
        <f>Theatre!E51</f>
        <v>15889.05</v>
      </c>
      <c r="F11" s="29">
        <f>Theatre!F51</f>
        <v>721</v>
      </c>
      <c r="G11" s="29">
        <f>Theatre!G51</f>
        <v>2090.9</v>
      </c>
      <c r="H11" s="29">
        <f>Theatre!H51</f>
        <v>17222.900000000001</v>
      </c>
      <c r="I11" s="29">
        <f>Theatre!I51</f>
        <v>1472.9</v>
      </c>
      <c r="J11" s="29">
        <f>Theatre!J51</f>
        <v>1951.85</v>
      </c>
      <c r="K11" s="29">
        <f>Theatre!K51</f>
        <v>1472.9</v>
      </c>
      <c r="L11" s="29">
        <f>Theatre!L51</f>
        <v>4847.8999999999996</v>
      </c>
      <c r="M11" s="29">
        <f>Theatre!M51</f>
        <v>2090.9</v>
      </c>
      <c r="N11" s="33">
        <f>SUM(B11:M11)</f>
        <v>68547</v>
      </c>
      <c r="O11" s="8"/>
    </row>
    <row r="12" spans="1:16" x14ac:dyDescent="0.25">
      <c r="A12" s="15" t="s">
        <v>100</v>
      </c>
      <c r="B12" s="29">
        <f>'Soft Play'!B28</f>
        <v>2942.5</v>
      </c>
      <c r="C12" s="29">
        <f>'Soft Play'!C28</f>
        <v>2942.5</v>
      </c>
      <c r="D12" s="29">
        <f>'Soft Play'!D28</f>
        <v>2942.5</v>
      </c>
      <c r="E12" s="29">
        <f>'Soft Play'!E28</f>
        <v>3036.25</v>
      </c>
      <c r="F12" s="29">
        <f>'Soft Play'!F28</f>
        <v>3036.25</v>
      </c>
      <c r="G12" s="29">
        <f>'Soft Play'!G28</f>
        <v>2942.5</v>
      </c>
      <c r="H12" s="29">
        <f>'Soft Play'!H28</f>
        <v>3036.25</v>
      </c>
      <c r="I12" s="29">
        <f>'Soft Play'!I28</f>
        <v>2942.5</v>
      </c>
      <c r="J12" s="29">
        <f>'Soft Play'!J28</f>
        <v>2380</v>
      </c>
      <c r="K12" s="29">
        <f>'Soft Play'!K28</f>
        <v>2380</v>
      </c>
      <c r="L12" s="29">
        <f>'Soft Play'!L28</f>
        <v>2755</v>
      </c>
      <c r="M12" s="29">
        <f>'Soft Play'!M28</f>
        <v>3036.25</v>
      </c>
      <c r="N12" s="33">
        <f t="shared" ref="N12:N15" si="2">SUM(B12:M12)</f>
        <v>34372.5</v>
      </c>
      <c r="O12" s="8"/>
    </row>
    <row r="13" spans="1:16" x14ac:dyDescent="0.25">
      <c r="A13" s="15" t="s">
        <v>102</v>
      </c>
      <c r="B13" s="29">
        <f>Bunkhouse!B57</f>
        <v>22500</v>
      </c>
      <c r="C13" s="29">
        <f>Bunkhouse!C57</f>
        <v>11625</v>
      </c>
      <c r="D13" s="29">
        <f>Bunkhouse!D57</f>
        <v>15750</v>
      </c>
      <c r="E13" s="29">
        <f>Bunkhouse!E57</f>
        <v>27900</v>
      </c>
      <c r="F13" s="29">
        <f>Bunkhouse!F57</f>
        <v>27900</v>
      </c>
      <c r="G13" s="29">
        <f>Bunkhouse!G57</f>
        <v>15750</v>
      </c>
      <c r="H13" s="29">
        <f>Bunkhouse!H57</f>
        <v>11625</v>
      </c>
      <c r="I13" s="29">
        <f>Bunkhouse!I57</f>
        <v>2250</v>
      </c>
      <c r="J13" s="29">
        <f>Bunkhouse!J57</f>
        <v>6300</v>
      </c>
      <c r="K13" s="29">
        <f>Bunkhouse!K57</f>
        <v>2325</v>
      </c>
      <c r="L13" s="29">
        <f>Bunkhouse!L57</f>
        <v>2100</v>
      </c>
      <c r="M13" s="29">
        <f>Bunkhouse!M57</f>
        <v>3487.5</v>
      </c>
      <c r="N13" s="33">
        <f t="shared" si="2"/>
        <v>149512.5</v>
      </c>
      <c r="O13" s="8"/>
    </row>
    <row r="14" spans="1:16" x14ac:dyDescent="0.25">
      <c r="A14" s="15" t="s">
        <v>174</v>
      </c>
      <c r="B14" s="29">
        <f>SUM(1327)/100*103</f>
        <v>1366.81</v>
      </c>
      <c r="C14" s="29">
        <f t="shared" ref="C14:M14" si="3">SUM(1327)/100*103</f>
        <v>1366.81</v>
      </c>
      <c r="D14" s="29">
        <f t="shared" si="3"/>
        <v>1366.81</v>
      </c>
      <c r="E14" s="29">
        <f t="shared" si="3"/>
        <v>1366.81</v>
      </c>
      <c r="F14" s="29">
        <f t="shared" si="3"/>
        <v>1366.81</v>
      </c>
      <c r="G14" s="29">
        <f t="shared" si="3"/>
        <v>1366.81</v>
      </c>
      <c r="H14" s="29">
        <f t="shared" si="3"/>
        <v>1366.81</v>
      </c>
      <c r="I14" s="29">
        <f t="shared" si="3"/>
        <v>1366.81</v>
      </c>
      <c r="J14" s="29">
        <f t="shared" si="3"/>
        <v>1366.81</v>
      </c>
      <c r="K14" s="29">
        <f t="shared" si="3"/>
        <v>1366.81</v>
      </c>
      <c r="L14" s="29">
        <f t="shared" si="3"/>
        <v>1366.81</v>
      </c>
      <c r="M14" s="29">
        <f t="shared" si="3"/>
        <v>1366.81</v>
      </c>
      <c r="N14" s="33">
        <f t="shared" si="2"/>
        <v>16401.719999999998</v>
      </c>
      <c r="O14" s="8"/>
    </row>
    <row r="15" spans="1:16" x14ac:dyDescent="0.25">
      <c r="A15" s="8" t="s">
        <v>189</v>
      </c>
      <c r="B15" s="29">
        <f>SUM(708/100*103)</f>
        <v>729.24</v>
      </c>
      <c r="C15" s="29">
        <f t="shared" ref="C15:M15" si="4">SUM(708/100*103)</f>
        <v>729.24</v>
      </c>
      <c r="D15" s="29">
        <f t="shared" si="4"/>
        <v>729.24</v>
      </c>
      <c r="E15" s="29">
        <f t="shared" si="4"/>
        <v>729.24</v>
      </c>
      <c r="F15" s="29">
        <f t="shared" si="4"/>
        <v>729.24</v>
      </c>
      <c r="G15" s="29">
        <f t="shared" si="4"/>
        <v>729.24</v>
      </c>
      <c r="H15" s="29">
        <f t="shared" si="4"/>
        <v>729.24</v>
      </c>
      <c r="I15" s="29">
        <f t="shared" si="4"/>
        <v>729.24</v>
      </c>
      <c r="J15" s="29">
        <f t="shared" si="4"/>
        <v>729.24</v>
      </c>
      <c r="K15" s="29">
        <f t="shared" si="4"/>
        <v>729.24</v>
      </c>
      <c r="L15" s="29">
        <f t="shared" si="4"/>
        <v>729.24</v>
      </c>
      <c r="M15" s="29">
        <f t="shared" si="4"/>
        <v>729.24</v>
      </c>
      <c r="N15" s="33">
        <f t="shared" si="2"/>
        <v>8750.8799999999992</v>
      </c>
      <c r="O15" s="13"/>
    </row>
    <row r="16" spans="1:16" x14ac:dyDescent="0.25">
      <c r="A16" s="8" t="s">
        <v>21</v>
      </c>
      <c r="B16" s="31">
        <f t="shared" ref="B16:M16" si="5">SUM(B10:B15)</f>
        <v>58173.95</v>
      </c>
      <c r="C16" s="31">
        <f t="shared" si="5"/>
        <v>30179.450000000004</v>
      </c>
      <c r="D16" s="31">
        <f t="shared" si="5"/>
        <v>31586.450000000004</v>
      </c>
      <c r="E16" s="31">
        <f t="shared" si="5"/>
        <v>59933.85</v>
      </c>
      <c r="F16" s="31">
        <f t="shared" si="5"/>
        <v>52378.299999999996</v>
      </c>
      <c r="G16" s="31">
        <f t="shared" si="5"/>
        <v>34304.449999999997</v>
      </c>
      <c r="H16" s="31">
        <f t="shared" si="5"/>
        <v>44992.7</v>
      </c>
      <c r="I16" s="31">
        <f t="shared" si="5"/>
        <v>13773.949999999999</v>
      </c>
      <c r="J16" s="31">
        <f t="shared" si="5"/>
        <v>23265.4</v>
      </c>
      <c r="K16" s="31">
        <f t="shared" si="5"/>
        <v>13223.949999999999</v>
      </c>
      <c r="L16" s="31">
        <f t="shared" si="5"/>
        <v>16217.699999999999</v>
      </c>
      <c r="M16" s="31">
        <f t="shared" si="5"/>
        <v>20410.700000000004</v>
      </c>
      <c r="N16" s="43">
        <f>SUM(B16:M16)</f>
        <v>398440.85000000009</v>
      </c>
      <c r="O16" s="13"/>
    </row>
    <row r="17" spans="1:15" x14ac:dyDescent="0.25">
      <c r="A17" s="7" t="s">
        <v>22</v>
      </c>
      <c r="B17" s="29">
        <f t="shared" ref="B17:N17" si="6">SUM(B7+B16)</f>
        <v>58173.95</v>
      </c>
      <c r="C17" s="29">
        <f t="shared" si="6"/>
        <v>30179.450000000004</v>
      </c>
      <c r="D17" s="29">
        <f t="shared" si="6"/>
        <v>31586.450000000004</v>
      </c>
      <c r="E17" s="29">
        <f t="shared" si="6"/>
        <v>59933.85</v>
      </c>
      <c r="F17" s="29">
        <f t="shared" si="6"/>
        <v>52378.299999999996</v>
      </c>
      <c r="G17" s="29">
        <f t="shared" si="6"/>
        <v>34304.449999999997</v>
      </c>
      <c r="H17" s="29">
        <f t="shared" si="6"/>
        <v>44992.7</v>
      </c>
      <c r="I17" s="29">
        <f t="shared" si="6"/>
        <v>13773.949999999999</v>
      </c>
      <c r="J17" s="29">
        <f t="shared" si="6"/>
        <v>23265.4</v>
      </c>
      <c r="K17" s="29">
        <f t="shared" si="6"/>
        <v>13223.949999999999</v>
      </c>
      <c r="L17" s="29">
        <f t="shared" si="6"/>
        <v>16217.699999999999</v>
      </c>
      <c r="M17" s="29">
        <f t="shared" si="6"/>
        <v>20410.700000000004</v>
      </c>
      <c r="N17" s="43">
        <f t="shared" si="6"/>
        <v>398440.85000000009</v>
      </c>
      <c r="O17" s="13"/>
    </row>
    <row r="18" spans="1:15" x14ac:dyDescent="0.25">
      <c r="A18" s="7" t="s">
        <v>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3"/>
      <c r="O18" s="13"/>
    </row>
    <row r="19" spans="1:15" x14ac:dyDescent="0.25">
      <c r="A19" s="8" t="s">
        <v>72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3">
        <f t="shared" ref="N19:N20" si="7">SUM(B19:M19)</f>
        <v>0</v>
      </c>
      <c r="O19" s="13"/>
    </row>
    <row r="20" spans="1:15" x14ac:dyDescent="0.25">
      <c r="A20" s="8" t="s">
        <v>28</v>
      </c>
      <c r="B20" s="29">
        <f>SUM(10585/100*103)/100*103</f>
        <v>11229.626499999998</v>
      </c>
      <c r="C20" s="29">
        <f t="shared" ref="C20:M20" si="8">SUM(10585/100*103)/100*103</f>
        <v>11229.626499999998</v>
      </c>
      <c r="D20" s="29">
        <f t="shared" si="8"/>
        <v>11229.626499999998</v>
      </c>
      <c r="E20" s="29">
        <f t="shared" si="8"/>
        <v>11229.626499999998</v>
      </c>
      <c r="F20" s="29">
        <f t="shared" si="8"/>
        <v>11229.626499999998</v>
      </c>
      <c r="G20" s="29">
        <f t="shared" si="8"/>
        <v>11229.626499999998</v>
      </c>
      <c r="H20" s="29">
        <f t="shared" si="8"/>
        <v>11229.626499999998</v>
      </c>
      <c r="I20" s="29">
        <f t="shared" si="8"/>
        <v>11229.626499999998</v>
      </c>
      <c r="J20" s="29">
        <f t="shared" si="8"/>
        <v>11229.626499999998</v>
      </c>
      <c r="K20" s="29">
        <f t="shared" si="8"/>
        <v>11229.626499999998</v>
      </c>
      <c r="L20" s="29">
        <f t="shared" si="8"/>
        <v>11229.626499999998</v>
      </c>
      <c r="M20" s="29">
        <f t="shared" si="8"/>
        <v>11229.626499999998</v>
      </c>
      <c r="N20" s="33">
        <f t="shared" si="7"/>
        <v>134755.51799999998</v>
      </c>
      <c r="O20" s="13"/>
    </row>
    <row r="21" spans="1:15" x14ac:dyDescent="0.25">
      <c r="A21" s="8" t="s">
        <v>152</v>
      </c>
      <c r="B21" s="29">
        <f>SUM(3382/100*103)/100*103</f>
        <v>3587.9638</v>
      </c>
      <c r="C21" s="29">
        <f t="shared" ref="C21:M21" si="9">SUM(3382/100*103)/100*103</f>
        <v>3587.9638</v>
      </c>
      <c r="D21" s="29">
        <f t="shared" si="9"/>
        <v>3587.9638</v>
      </c>
      <c r="E21" s="29">
        <f t="shared" si="9"/>
        <v>3587.9638</v>
      </c>
      <c r="F21" s="29">
        <f t="shared" si="9"/>
        <v>3587.9638</v>
      </c>
      <c r="G21" s="29">
        <f t="shared" si="9"/>
        <v>3587.9638</v>
      </c>
      <c r="H21" s="29">
        <f t="shared" si="9"/>
        <v>3587.9638</v>
      </c>
      <c r="I21" s="29">
        <f t="shared" si="9"/>
        <v>3587.9638</v>
      </c>
      <c r="J21" s="29">
        <f t="shared" si="9"/>
        <v>3587.9638</v>
      </c>
      <c r="K21" s="29">
        <f t="shared" si="9"/>
        <v>3587.9638</v>
      </c>
      <c r="L21" s="29">
        <f t="shared" si="9"/>
        <v>3587.9638</v>
      </c>
      <c r="M21" s="29">
        <f t="shared" si="9"/>
        <v>3587.9638</v>
      </c>
      <c r="N21" s="33">
        <f>SUM(B21:M21)</f>
        <v>43055.565600000002</v>
      </c>
      <c r="O21" s="13"/>
    </row>
    <row r="22" spans="1:15" x14ac:dyDescent="0.25">
      <c r="A22" s="15" t="s">
        <v>99</v>
      </c>
      <c r="B22" s="29">
        <f>Theatre!B56</f>
        <v>6750</v>
      </c>
      <c r="C22" s="29">
        <f>Theatre!C56</f>
        <v>0</v>
      </c>
      <c r="D22" s="29">
        <f>Theatre!D56</f>
        <v>0</v>
      </c>
      <c r="E22" s="29">
        <f>Theatre!E56</f>
        <v>6750</v>
      </c>
      <c r="F22" s="29">
        <f>Theatre!F56</f>
        <v>0</v>
      </c>
      <c r="G22" s="29">
        <f>Theatre!G56</f>
        <v>0</v>
      </c>
      <c r="H22" s="29">
        <f>Theatre!H56</f>
        <v>6750</v>
      </c>
      <c r="I22" s="29">
        <f>Theatre!I56</f>
        <v>0</v>
      </c>
      <c r="J22" s="29">
        <f>Theatre!J56</f>
        <v>0</v>
      </c>
      <c r="K22" s="29">
        <f>Theatre!K56</f>
        <v>0</v>
      </c>
      <c r="L22" s="29">
        <f>Theatre!L56</f>
        <v>2000</v>
      </c>
      <c r="M22" s="29">
        <f>Theatre!M56</f>
        <v>3250</v>
      </c>
      <c r="N22" s="33">
        <f>SUM(B22:M22)</f>
        <v>25500</v>
      </c>
      <c r="O22" s="13"/>
    </row>
    <row r="23" spans="1:15" x14ac:dyDescent="0.25">
      <c r="A23" s="15" t="s">
        <v>102</v>
      </c>
      <c r="B23" s="29">
        <f>Bunkhouse!B67</f>
        <v>4711.7299999999996</v>
      </c>
      <c r="C23" s="29">
        <f>Bunkhouse!C67</f>
        <v>3624.23</v>
      </c>
      <c r="D23" s="29">
        <f>Bunkhouse!D67</f>
        <v>4036.73</v>
      </c>
      <c r="E23" s="29">
        <f>Bunkhouse!C67</f>
        <v>3624.23</v>
      </c>
      <c r="F23" s="29">
        <f>Bunkhouse!D67</f>
        <v>4036.73</v>
      </c>
      <c r="G23" s="29">
        <f>Bunkhouse!E67</f>
        <v>5251.7300000000005</v>
      </c>
      <c r="H23" s="29">
        <f>Bunkhouse!F67</f>
        <v>5251.7300000000005</v>
      </c>
      <c r="I23" s="29">
        <f>Bunkhouse!G67</f>
        <v>4036.73</v>
      </c>
      <c r="J23" s="29">
        <f>Bunkhouse!H67</f>
        <v>3624.23</v>
      </c>
      <c r="K23" s="29">
        <f>Bunkhouse!I67</f>
        <v>2686.7299999999996</v>
      </c>
      <c r="L23" s="29">
        <f>Bunkhouse!J67</f>
        <v>3091.73</v>
      </c>
      <c r="M23" s="29">
        <f>Bunkhouse!K67</f>
        <v>2694.2299999999996</v>
      </c>
      <c r="N23" s="33">
        <f t="shared" ref="N23:N27" si="10">SUM(B23:M23)</f>
        <v>46670.760000000009</v>
      </c>
      <c r="O23" s="13"/>
    </row>
    <row r="24" spans="1:15" x14ac:dyDescent="0.25">
      <c r="A24" s="15" t="s">
        <v>20</v>
      </c>
      <c r="B24" s="29">
        <f>Cafe!B99</f>
        <v>10320.139000000001</v>
      </c>
      <c r="C24" s="29">
        <f>Cafe!C99</f>
        <v>9297.7890000000007</v>
      </c>
      <c r="D24" s="29">
        <f>Cafe!D99</f>
        <v>8356.389000000001</v>
      </c>
      <c r="E24" s="29">
        <f>Cafe!E99</f>
        <v>9272.2133000000013</v>
      </c>
      <c r="F24" s="29">
        <f>Cafe!F99</f>
        <v>12076.389000000001</v>
      </c>
      <c r="G24" s="29">
        <f>Cafe!G99</f>
        <v>9449.389000000001</v>
      </c>
      <c r="H24" s="29">
        <f>Cafe!H99</f>
        <v>9132.7890000000007</v>
      </c>
      <c r="I24" s="29">
        <f>Cafe!I99</f>
        <v>6682.0890000000009</v>
      </c>
      <c r="J24" s="29">
        <f>Cafe!J99</f>
        <v>9094.0889999999999</v>
      </c>
      <c r="K24" s="29">
        <f>Cafe!K99</f>
        <v>6769.4890000000014</v>
      </c>
      <c r="L24" s="29">
        <f>Cafe!L99</f>
        <v>6495.2890000000007</v>
      </c>
      <c r="M24" s="29">
        <f>Cafe!M99</f>
        <v>10957.089</v>
      </c>
      <c r="N24" s="33">
        <f t="shared" si="10"/>
        <v>107903.14230000001</v>
      </c>
      <c r="O24" s="13"/>
    </row>
    <row r="25" spans="1:15" x14ac:dyDescent="0.25">
      <c r="A25" s="8" t="s">
        <v>153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33">
        <f t="shared" si="10"/>
        <v>0</v>
      </c>
      <c r="O25" s="13"/>
    </row>
    <row r="26" spans="1:15" x14ac:dyDescent="0.25">
      <c r="A26" s="8" t="s">
        <v>176</v>
      </c>
      <c r="B26" s="29">
        <v>0</v>
      </c>
      <c r="C26" s="29">
        <v>1000</v>
      </c>
      <c r="D26" s="29">
        <v>1500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1000</v>
      </c>
      <c r="M26" s="29">
        <v>1500</v>
      </c>
      <c r="N26" s="33">
        <f t="shared" si="10"/>
        <v>5000</v>
      </c>
      <c r="O26" s="13"/>
    </row>
    <row r="27" spans="1:15" x14ac:dyDescent="0.25">
      <c r="A27" s="8" t="s">
        <v>21</v>
      </c>
      <c r="B27" s="29">
        <f>SUM(B20:B26)</f>
        <v>36599.459299999995</v>
      </c>
      <c r="C27" s="29">
        <f t="shared" ref="C27:M27" si="11">SUM(C20:C26)</f>
        <v>28739.6093</v>
      </c>
      <c r="D27" s="29">
        <f t="shared" si="11"/>
        <v>28710.709300000002</v>
      </c>
      <c r="E27" s="29">
        <f t="shared" si="11"/>
        <v>34464.033599999995</v>
      </c>
      <c r="F27" s="29">
        <f t="shared" si="11"/>
        <v>30930.709300000002</v>
      </c>
      <c r="G27" s="29">
        <f t="shared" si="11"/>
        <v>29518.709300000002</v>
      </c>
      <c r="H27" s="29">
        <f t="shared" si="11"/>
        <v>35952.109299999996</v>
      </c>
      <c r="I27" s="29">
        <f t="shared" si="11"/>
        <v>25536.409299999999</v>
      </c>
      <c r="J27" s="29">
        <f t="shared" si="11"/>
        <v>27535.909299999999</v>
      </c>
      <c r="K27" s="29">
        <f t="shared" si="11"/>
        <v>24273.809300000001</v>
      </c>
      <c r="L27" s="29">
        <f t="shared" si="11"/>
        <v>27404.609299999996</v>
      </c>
      <c r="M27" s="29">
        <f t="shared" si="11"/>
        <v>33218.909299999999</v>
      </c>
      <c r="N27" s="43">
        <f t="shared" si="10"/>
        <v>362884.98590000003</v>
      </c>
      <c r="O27" s="13"/>
    </row>
    <row r="28" spans="1:15" x14ac:dyDescent="0.25">
      <c r="A28" s="7" t="s">
        <v>24</v>
      </c>
      <c r="B28" s="29">
        <f t="shared" ref="B28:M28" si="12">SUM(B19+B27)</f>
        <v>36599.459299999995</v>
      </c>
      <c r="C28" s="29">
        <f t="shared" si="12"/>
        <v>28739.6093</v>
      </c>
      <c r="D28" s="29">
        <f t="shared" si="12"/>
        <v>28710.709300000002</v>
      </c>
      <c r="E28" s="29">
        <f t="shared" si="12"/>
        <v>34464.033599999995</v>
      </c>
      <c r="F28" s="29">
        <f t="shared" si="12"/>
        <v>30930.709300000002</v>
      </c>
      <c r="G28" s="29">
        <f t="shared" si="12"/>
        <v>29518.709300000002</v>
      </c>
      <c r="H28" s="29">
        <f t="shared" si="12"/>
        <v>35952.109299999996</v>
      </c>
      <c r="I28" s="29">
        <f t="shared" si="12"/>
        <v>25536.409299999999</v>
      </c>
      <c r="J28" s="29">
        <f t="shared" si="12"/>
        <v>27535.909299999999</v>
      </c>
      <c r="K28" s="29">
        <f t="shared" si="12"/>
        <v>24273.809300000001</v>
      </c>
      <c r="L28" s="29">
        <f t="shared" si="12"/>
        <v>27404.609299999996</v>
      </c>
      <c r="M28" s="29">
        <f t="shared" si="12"/>
        <v>33218.909299999999</v>
      </c>
      <c r="N28" s="43">
        <f>SUM(B28:M28)</f>
        <v>362884.98590000003</v>
      </c>
      <c r="O28" s="13"/>
    </row>
    <row r="29" spans="1:15" x14ac:dyDescent="0.25">
      <c r="A29" s="7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4"/>
      <c r="O29" s="13"/>
    </row>
    <row r="30" spans="1:15" x14ac:dyDescent="0.25">
      <c r="A30" s="7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5"/>
      <c r="O30" s="13"/>
    </row>
    <row r="31" spans="1:15" x14ac:dyDescent="0.25">
      <c r="A31" s="7" t="s">
        <v>25</v>
      </c>
      <c r="B31" s="29">
        <f>'YE 2023'!$M$33</f>
        <v>62181.071536000047</v>
      </c>
      <c r="C31" s="29">
        <f t="shared" ref="C31:M31" si="13">SUM(B33)</f>
        <v>83755.562236000056</v>
      </c>
      <c r="D31" s="29">
        <f t="shared" si="13"/>
        <v>85195.402936000057</v>
      </c>
      <c r="E31" s="29">
        <f t="shared" si="13"/>
        <v>88071.143636000052</v>
      </c>
      <c r="F31" s="29">
        <f t="shared" si="13"/>
        <v>113540.96003600006</v>
      </c>
      <c r="G31" s="29">
        <f t="shared" si="13"/>
        <v>134988.55073600006</v>
      </c>
      <c r="H31" s="29">
        <f t="shared" si="13"/>
        <v>139774.29143600006</v>
      </c>
      <c r="I31" s="29">
        <f t="shared" si="13"/>
        <v>148814.88213600006</v>
      </c>
      <c r="J31" s="29">
        <f t="shared" si="13"/>
        <v>137052.42283600007</v>
      </c>
      <c r="K31" s="29">
        <f t="shared" si="13"/>
        <v>132781.91353600007</v>
      </c>
      <c r="L31" s="29">
        <f t="shared" si="13"/>
        <v>121732.05423600007</v>
      </c>
      <c r="M31" s="29">
        <f t="shared" si="13"/>
        <v>110545.14493600007</v>
      </c>
      <c r="N31" s="33"/>
      <c r="O31" s="13"/>
    </row>
    <row r="32" spans="1:15" x14ac:dyDescent="0.25">
      <c r="A32" s="7" t="s">
        <v>26</v>
      </c>
      <c r="B32" s="29">
        <f t="shared" ref="B32:M32" si="14">SUM(B17-B28)</f>
        <v>21574.490700000002</v>
      </c>
      <c r="C32" s="29">
        <f t="shared" si="14"/>
        <v>1439.8407000000043</v>
      </c>
      <c r="D32" s="29">
        <f t="shared" si="14"/>
        <v>2875.7407000000021</v>
      </c>
      <c r="E32" s="29">
        <f t="shared" si="14"/>
        <v>25469.816400000003</v>
      </c>
      <c r="F32" s="29">
        <f t="shared" si="14"/>
        <v>21447.590699999993</v>
      </c>
      <c r="G32" s="29">
        <f t="shared" si="14"/>
        <v>4785.7406999999948</v>
      </c>
      <c r="H32" s="29">
        <f t="shared" si="14"/>
        <v>9040.5907000000007</v>
      </c>
      <c r="I32" s="29">
        <f t="shared" si="14"/>
        <v>-11762.4593</v>
      </c>
      <c r="J32" s="29">
        <f t="shared" si="14"/>
        <v>-4270.5092999999979</v>
      </c>
      <c r="K32" s="29">
        <f t="shared" si="14"/>
        <v>-11049.859300000002</v>
      </c>
      <c r="L32" s="29">
        <f t="shared" si="14"/>
        <v>-11186.909299999998</v>
      </c>
      <c r="M32" s="29">
        <f t="shared" si="14"/>
        <v>-12808.209299999995</v>
      </c>
      <c r="N32" s="34"/>
      <c r="O32" s="13"/>
    </row>
    <row r="33" spans="1:15" x14ac:dyDescent="0.25">
      <c r="A33" s="7" t="s">
        <v>27</v>
      </c>
      <c r="B33" s="29">
        <f>SUM(B31+B32)</f>
        <v>83755.562236000056</v>
      </c>
      <c r="C33" s="29">
        <f t="shared" ref="C33:M33" si="15">SUM(C31+C32)</f>
        <v>85195.402936000057</v>
      </c>
      <c r="D33" s="29">
        <f t="shared" si="15"/>
        <v>88071.143636000052</v>
      </c>
      <c r="E33" s="29">
        <f t="shared" si="15"/>
        <v>113540.96003600006</v>
      </c>
      <c r="F33" s="29">
        <f t="shared" si="15"/>
        <v>134988.55073600006</v>
      </c>
      <c r="G33" s="29">
        <f t="shared" si="15"/>
        <v>139774.29143600006</v>
      </c>
      <c r="H33" s="29">
        <f t="shared" si="15"/>
        <v>148814.88213600006</v>
      </c>
      <c r="I33" s="29">
        <f t="shared" si="15"/>
        <v>137052.42283600007</v>
      </c>
      <c r="J33" s="29">
        <f t="shared" si="15"/>
        <v>132781.91353600007</v>
      </c>
      <c r="K33" s="29">
        <f t="shared" si="15"/>
        <v>121732.05423600007</v>
      </c>
      <c r="L33" s="29">
        <f t="shared" si="15"/>
        <v>110545.14493600007</v>
      </c>
      <c r="M33" s="29">
        <f t="shared" si="15"/>
        <v>97736.935636000067</v>
      </c>
      <c r="N33" s="34"/>
      <c r="O33" s="13"/>
    </row>
    <row r="34" spans="1:15" x14ac:dyDescent="0.25">
      <c r="A34" s="1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12"/>
      <c r="O34" s="10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topLeftCell="A10" workbookViewId="0">
      <selection activeCell="C15" sqref="C15:M15"/>
    </sheetView>
  </sheetViews>
  <sheetFormatPr defaultColWidth="9.28515625" defaultRowHeight="15" x14ac:dyDescent="0.25"/>
  <cols>
    <col min="1" max="1" width="27" style="5" customWidth="1"/>
    <col min="2" max="3" width="10.28515625" style="5" bestFit="1" customWidth="1"/>
    <col min="4" max="14" width="9.28515625" style="5"/>
    <col min="15" max="15" width="3.5703125" style="5" customWidth="1"/>
    <col min="16" max="16" width="15.28515625" style="5" customWidth="1"/>
    <col min="17" max="16384" width="9.28515625" style="5"/>
  </cols>
  <sheetData>
    <row r="1" spans="1:16" x14ac:dyDescent="0.25">
      <c r="A1" s="7" t="s">
        <v>192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x14ac:dyDescent="0.25">
      <c r="A2" s="7"/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3</v>
      </c>
      <c r="O2" s="8"/>
    </row>
    <row r="3" spans="1:16" x14ac:dyDescent="0.25">
      <c r="A3" s="9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3"/>
      <c r="O3" s="13"/>
    </row>
    <row r="4" spans="1:16" x14ac:dyDescent="0.25">
      <c r="A4" s="7" t="s">
        <v>17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3"/>
      <c r="O4" s="13"/>
    </row>
    <row r="5" spans="1:16" ht="15.75" thickBot="1" x14ac:dyDescent="0.3">
      <c r="A5" s="8" t="s">
        <v>71</v>
      </c>
      <c r="B5" s="32">
        <v>0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3">
        <f t="shared" ref="N5:N6" si="0">SUM(B5:M5)</f>
        <v>0</v>
      </c>
      <c r="O5" s="8"/>
    </row>
    <row r="6" spans="1:16" x14ac:dyDescent="0.25">
      <c r="A6" s="28" t="s">
        <v>73</v>
      </c>
      <c r="B6" s="29">
        <v>0</v>
      </c>
      <c r="C6" s="29">
        <v>0</v>
      </c>
      <c r="D6" s="29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3">
        <f t="shared" si="0"/>
        <v>0</v>
      </c>
      <c r="O6" s="8"/>
    </row>
    <row r="7" spans="1:16" x14ac:dyDescent="0.25">
      <c r="A7" s="7" t="s">
        <v>18</v>
      </c>
      <c r="B7" s="29">
        <f t="shared" ref="B7:N7" si="1">SUM(B5:B6)</f>
        <v>0</v>
      </c>
      <c r="C7" s="29">
        <f t="shared" si="1"/>
        <v>0</v>
      </c>
      <c r="D7" s="29">
        <f t="shared" si="1"/>
        <v>0</v>
      </c>
      <c r="E7" s="29">
        <f t="shared" si="1"/>
        <v>0</v>
      </c>
      <c r="F7" s="29">
        <f t="shared" si="1"/>
        <v>0</v>
      </c>
      <c r="G7" s="29">
        <f t="shared" si="1"/>
        <v>0</v>
      </c>
      <c r="H7" s="29">
        <f t="shared" si="1"/>
        <v>0</v>
      </c>
      <c r="I7" s="29">
        <f t="shared" si="1"/>
        <v>0</v>
      </c>
      <c r="J7" s="29">
        <f t="shared" si="1"/>
        <v>0</v>
      </c>
      <c r="K7" s="29">
        <f t="shared" si="1"/>
        <v>0</v>
      </c>
      <c r="L7" s="29">
        <f t="shared" si="1"/>
        <v>0</v>
      </c>
      <c r="M7" s="29">
        <f t="shared" si="1"/>
        <v>0</v>
      </c>
      <c r="N7" s="33">
        <f t="shared" si="1"/>
        <v>0</v>
      </c>
      <c r="O7" s="8"/>
      <c r="P7" s="6"/>
    </row>
    <row r="8" spans="1:16" x14ac:dyDescent="0.25">
      <c r="A8" s="7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3"/>
      <c r="O8" s="8"/>
      <c r="P8" s="6"/>
    </row>
    <row r="9" spans="1:16" x14ac:dyDescent="0.25">
      <c r="A9" s="7" t="s">
        <v>19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3"/>
      <c r="O9" s="8"/>
    </row>
    <row r="10" spans="1:16" x14ac:dyDescent="0.25">
      <c r="A10" s="8" t="s">
        <v>20</v>
      </c>
      <c r="B10" s="29">
        <f>Cafe!B115</f>
        <v>14200</v>
      </c>
      <c r="C10" s="29">
        <f>Cafe!C115</f>
        <v>12000</v>
      </c>
      <c r="D10" s="29">
        <f>Cafe!D115</f>
        <v>9750</v>
      </c>
      <c r="E10" s="29">
        <f>Cafe!E115</f>
        <v>11800</v>
      </c>
      <c r="F10" s="29">
        <f>Cafe!F115</f>
        <v>19537.5</v>
      </c>
      <c r="G10" s="29">
        <f>Cafe!G115</f>
        <v>12000</v>
      </c>
      <c r="H10" s="29">
        <f>Cafe!H115</f>
        <v>11800</v>
      </c>
      <c r="I10" s="29">
        <f>Cafe!I115</f>
        <v>5250</v>
      </c>
      <c r="J10" s="29">
        <f>Cafe!J115</f>
        <v>10950</v>
      </c>
      <c r="K10" s="29">
        <f>Cafe!K115</f>
        <v>5150</v>
      </c>
      <c r="L10" s="29">
        <f>Cafe!L115</f>
        <v>4600</v>
      </c>
      <c r="M10" s="29">
        <f>Cafe!M115</f>
        <v>10200</v>
      </c>
      <c r="N10" s="33">
        <f>SUM(B10:M10)</f>
        <v>127237.5</v>
      </c>
      <c r="O10" s="8"/>
    </row>
    <row r="11" spans="1:16" x14ac:dyDescent="0.25">
      <c r="A11" s="15" t="s">
        <v>99</v>
      </c>
      <c r="B11" s="29">
        <f>Theatre!B65</f>
        <v>18562.510000000002</v>
      </c>
      <c r="C11" s="29">
        <f>Theatre!C65</f>
        <v>2218.62</v>
      </c>
      <c r="D11" s="29">
        <f>Theatre!D65</f>
        <v>1562.51</v>
      </c>
      <c r="E11" s="29">
        <f>Theatre!E65</f>
        <v>17147.29</v>
      </c>
      <c r="F11" s="29">
        <f>Theatre!F65</f>
        <v>765.29</v>
      </c>
      <c r="G11" s="29">
        <f>Theatre!G65</f>
        <v>2218.62</v>
      </c>
      <c r="H11" s="29">
        <f>Theatre!H65</f>
        <v>18562.510000000002</v>
      </c>
      <c r="I11" s="29">
        <f>Theatre!I65</f>
        <v>1562.51</v>
      </c>
      <c r="J11" s="29">
        <f>Theatre!J65</f>
        <v>2075.4499999999998</v>
      </c>
      <c r="K11" s="29">
        <f>Theatre!K65</f>
        <v>1562.51</v>
      </c>
      <c r="L11" s="29">
        <f>Theatre!L65</f>
        <v>4937.51</v>
      </c>
      <c r="M11" s="29">
        <f>Theatre!M65</f>
        <v>2199.0500000000002</v>
      </c>
      <c r="N11" s="33">
        <f>SUM(B11:M11)</f>
        <v>73374.38</v>
      </c>
      <c r="O11" s="8"/>
    </row>
    <row r="12" spans="1:16" x14ac:dyDescent="0.25">
      <c r="A12" s="15" t="s">
        <v>100</v>
      </c>
      <c r="B12" s="29">
        <f>'Soft Play'!B35</f>
        <v>3130</v>
      </c>
      <c r="C12" s="29">
        <f>'Soft Play'!C35</f>
        <v>3130</v>
      </c>
      <c r="D12" s="29">
        <f>'Soft Play'!D35</f>
        <v>3130</v>
      </c>
      <c r="E12" s="29">
        <f>'Soft Play'!E35</f>
        <v>3230</v>
      </c>
      <c r="F12" s="29">
        <f>'Soft Play'!F35</f>
        <v>3230</v>
      </c>
      <c r="G12" s="29">
        <f>'Soft Play'!G35</f>
        <v>3130</v>
      </c>
      <c r="H12" s="29">
        <f>'Soft Play'!H35</f>
        <v>3230</v>
      </c>
      <c r="I12" s="29">
        <f>'Soft Play'!I35</f>
        <v>3130</v>
      </c>
      <c r="J12" s="29">
        <f>'Soft Play'!J35</f>
        <v>2530</v>
      </c>
      <c r="K12" s="29">
        <f>'Soft Play'!K35</f>
        <v>2530</v>
      </c>
      <c r="L12" s="29">
        <f>'Soft Play'!L35</f>
        <v>2930</v>
      </c>
      <c r="M12" s="29">
        <f>'Soft Play'!M35</f>
        <v>3230</v>
      </c>
      <c r="N12" s="33">
        <f t="shared" ref="N12:N15" si="2">SUM(B12:M12)</f>
        <v>36560</v>
      </c>
      <c r="O12" s="8"/>
    </row>
    <row r="13" spans="1:16" x14ac:dyDescent="0.25">
      <c r="A13" s="15" t="s">
        <v>102</v>
      </c>
      <c r="B13" s="29">
        <f>Bunkhouse!B74</f>
        <v>24000</v>
      </c>
      <c r="C13" s="29">
        <f>Bunkhouse!C74</f>
        <v>12400</v>
      </c>
      <c r="D13" s="29">
        <f>Bunkhouse!D74</f>
        <v>16800</v>
      </c>
      <c r="E13" s="29">
        <f>Bunkhouse!E74</f>
        <v>29760</v>
      </c>
      <c r="F13" s="29">
        <f>Bunkhouse!F74</f>
        <v>29760</v>
      </c>
      <c r="G13" s="29">
        <f>Bunkhouse!G74</f>
        <v>16800</v>
      </c>
      <c r="H13" s="29">
        <f>Bunkhouse!H74</f>
        <v>12400</v>
      </c>
      <c r="I13" s="29">
        <f>Bunkhouse!I74</f>
        <v>2400</v>
      </c>
      <c r="J13" s="29">
        <f>Bunkhouse!J74</f>
        <v>6720</v>
      </c>
      <c r="K13" s="29">
        <f>Bunkhouse!K74</f>
        <v>2480</v>
      </c>
      <c r="L13" s="29">
        <f>Bunkhouse!L74</f>
        <v>2240</v>
      </c>
      <c r="M13" s="29">
        <f>Bunkhouse!M74</f>
        <v>3720</v>
      </c>
      <c r="N13" s="33">
        <f t="shared" si="2"/>
        <v>159480</v>
      </c>
      <c r="O13" s="8"/>
    </row>
    <row r="14" spans="1:16" x14ac:dyDescent="0.25">
      <c r="A14" s="15" t="s">
        <v>174</v>
      </c>
      <c r="B14" s="29">
        <f>SUM(1367)/100*103</f>
        <v>1408.01</v>
      </c>
      <c r="C14" s="29">
        <f t="shared" ref="C14:M14" si="3">SUM(1367)/100*103</f>
        <v>1408.01</v>
      </c>
      <c r="D14" s="29">
        <f t="shared" si="3"/>
        <v>1408.01</v>
      </c>
      <c r="E14" s="29">
        <f t="shared" si="3"/>
        <v>1408.01</v>
      </c>
      <c r="F14" s="29">
        <f t="shared" si="3"/>
        <v>1408.01</v>
      </c>
      <c r="G14" s="29">
        <f t="shared" si="3"/>
        <v>1408.01</v>
      </c>
      <c r="H14" s="29">
        <f t="shared" si="3"/>
        <v>1408.01</v>
      </c>
      <c r="I14" s="29">
        <f t="shared" si="3"/>
        <v>1408.01</v>
      </c>
      <c r="J14" s="29">
        <f t="shared" si="3"/>
        <v>1408.01</v>
      </c>
      <c r="K14" s="29">
        <f t="shared" si="3"/>
        <v>1408.01</v>
      </c>
      <c r="L14" s="29">
        <f t="shared" si="3"/>
        <v>1408.01</v>
      </c>
      <c r="M14" s="29">
        <f t="shared" si="3"/>
        <v>1408.01</v>
      </c>
      <c r="N14" s="33">
        <f t="shared" si="2"/>
        <v>16896.12</v>
      </c>
      <c r="O14" s="8"/>
    </row>
    <row r="15" spans="1:16" x14ac:dyDescent="0.25">
      <c r="A15" s="8" t="s">
        <v>189</v>
      </c>
      <c r="B15" s="29">
        <f>SUM(729/100*103)</f>
        <v>750.87</v>
      </c>
      <c r="C15" s="29">
        <f t="shared" ref="C15:M15" si="4">SUM(729/100*103)</f>
        <v>750.87</v>
      </c>
      <c r="D15" s="29">
        <f t="shared" si="4"/>
        <v>750.87</v>
      </c>
      <c r="E15" s="29">
        <f t="shared" si="4"/>
        <v>750.87</v>
      </c>
      <c r="F15" s="29">
        <f t="shared" si="4"/>
        <v>750.87</v>
      </c>
      <c r="G15" s="29">
        <f t="shared" si="4"/>
        <v>750.87</v>
      </c>
      <c r="H15" s="29">
        <f t="shared" si="4"/>
        <v>750.87</v>
      </c>
      <c r="I15" s="29">
        <f t="shared" si="4"/>
        <v>750.87</v>
      </c>
      <c r="J15" s="29">
        <f t="shared" si="4"/>
        <v>750.87</v>
      </c>
      <c r="K15" s="29">
        <f t="shared" si="4"/>
        <v>750.87</v>
      </c>
      <c r="L15" s="29">
        <f t="shared" si="4"/>
        <v>750.87</v>
      </c>
      <c r="M15" s="29">
        <f t="shared" si="4"/>
        <v>750.87</v>
      </c>
      <c r="N15" s="33">
        <f t="shared" si="2"/>
        <v>9010.44</v>
      </c>
      <c r="O15" s="13"/>
    </row>
    <row r="16" spans="1:16" x14ac:dyDescent="0.25">
      <c r="A16" s="8" t="s">
        <v>21</v>
      </c>
      <c r="B16" s="31">
        <f t="shared" ref="B16:M16" si="5">SUM(B10:B15)</f>
        <v>62051.390000000007</v>
      </c>
      <c r="C16" s="31">
        <f t="shared" si="5"/>
        <v>31907.499999999996</v>
      </c>
      <c r="D16" s="31">
        <f t="shared" si="5"/>
        <v>33401.39</v>
      </c>
      <c r="E16" s="31">
        <f t="shared" si="5"/>
        <v>64096.170000000006</v>
      </c>
      <c r="F16" s="31">
        <f t="shared" si="5"/>
        <v>55451.670000000006</v>
      </c>
      <c r="G16" s="31">
        <f t="shared" si="5"/>
        <v>36307.5</v>
      </c>
      <c r="H16" s="31">
        <f t="shared" si="5"/>
        <v>48151.390000000007</v>
      </c>
      <c r="I16" s="31">
        <f t="shared" si="5"/>
        <v>14501.390000000001</v>
      </c>
      <c r="J16" s="31">
        <f t="shared" si="5"/>
        <v>24434.329999999998</v>
      </c>
      <c r="K16" s="31">
        <f t="shared" si="5"/>
        <v>13881.390000000001</v>
      </c>
      <c r="L16" s="31">
        <f t="shared" si="5"/>
        <v>16866.39</v>
      </c>
      <c r="M16" s="31">
        <f t="shared" si="5"/>
        <v>21507.929999999997</v>
      </c>
      <c r="N16" s="43">
        <f>SUM(B16:M16)</f>
        <v>422558.44000000006</v>
      </c>
      <c r="O16" s="13"/>
    </row>
    <row r="17" spans="1:15" x14ac:dyDescent="0.25">
      <c r="A17" s="7" t="s">
        <v>22</v>
      </c>
      <c r="B17" s="29">
        <f t="shared" ref="B17:N17" si="6">SUM(B7+B16)</f>
        <v>62051.390000000007</v>
      </c>
      <c r="C17" s="29">
        <f t="shared" si="6"/>
        <v>31907.499999999996</v>
      </c>
      <c r="D17" s="29">
        <f t="shared" si="6"/>
        <v>33401.39</v>
      </c>
      <c r="E17" s="29">
        <f t="shared" si="6"/>
        <v>64096.170000000006</v>
      </c>
      <c r="F17" s="29">
        <f t="shared" si="6"/>
        <v>55451.670000000006</v>
      </c>
      <c r="G17" s="29">
        <f t="shared" si="6"/>
        <v>36307.5</v>
      </c>
      <c r="H17" s="29">
        <f t="shared" si="6"/>
        <v>48151.390000000007</v>
      </c>
      <c r="I17" s="29">
        <f t="shared" si="6"/>
        <v>14501.390000000001</v>
      </c>
      <c r="J17" s="29">
        <f t="shared" si="6"/>
        <v>24434.329999999998</v>
      </c>
      <c r="K17" s="29">
        <f t="shared" si="6"/>
        <v>13881.390000000001</v>
      </c>
      <c r="L17" s="29">
        <f t="shared" si="6"/>
        <v>16866.39</v>
      </c>
      <c r="M17" s="29">
        <f t="shared" si="6"/>
        <v>21507.929999999997</v>
      </c>
      <c r="N17" s="43">
        <f t="shared" si="6"/>
        <v>422558.44000000006</v>
      </c>
      <c r="O17" s="13"/>
    </row>
    <row r="18" spans="1:15" x14ac:dyDescent="0.25">
      <c r="A18" s="7" t="s">
        <v>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3"/>
      <c r="O18" s="13"/>
    </row>
    <row r="19" spans="1:15" x14ac:dyDescent="0.25">
      <c r="A19" s="8" t="s">
        <v>72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3">
        <f t="shared" ref="N19:N20" si="7">SUM(B19:M19)</f>
        <v>0</v>
      </c>
      <c r="O19" s="13"/>
    </row>
    <row r="20" spans="1:15" x14ac:dyDescent="0.25">
      <c r="A20" s="8" t="s">
        <v>28</v>
      </c>
      <c r="B20" s="29">
        <f>SUM((10585/100*103)/100*103)/100*103</f>
        <v>11566.515294999999</v>
      </c>
      <c r="C20" s="29">
        <f t="shared" ref="C20:M20" si="8">SUM((10585/100*103)/100*103)/100*103</f>
        <v>11566.515294999999</v>
      </c>
      <c r="D20" s="29">
        <f t="shared" si="8"/>
        <v>11566.515294999999</v>
      </c>
      <c r="E20" s="29">
        <f t="shared" si="8"/>
        <v>11566.515294999999</v>
      </c>
      <c r="F20" s="29">
        <f t="shared" si="8"/>
        <v>11566.515294999999</v>
      </c>
      <c r="G20" s="29">
        <f t="shared" si="8"/>
        <v>11566.515294999999</v>
      </c>
      <c r="H20" s="29">
        <f t="shared" si="8"/>
        <v>11566.515294999999</v>
      </c>
      <c r="I20" s="29">
        <f t="shared" si="8"/>
        <v>11566.515294999999</v>
      </c>
      <c r="J20" s="29">
        <f t="shared" si="8"/>
        <v>11566.515294999999</v>
      </c>
      <c r="K20" s="29">
        <f t="shared" si="8"/>
        <v>11566.515294999999</v>
      </c>
      <c r="L20" s="29">
        <f t="shared" si="8"/>
        <v>11566.515294999999</v>
      </c>
      <c r="M20" s="29">
        <f t="shared" si="8"/>
        <v>11566.515294999999</v>
      </c>
      <c r="N20" s="33">
        <f t="shared" si="7"/>
        <v>138798.18354000003</v>
      </c>
      <c r="O20" s="13"/>
    </row>
    <row r="21" spans="1:15" x14ac:dyDescent="0.25">
      <c r="A21" s="8" t="s">
        <v>152</v>
      </c>
      <c r="B21" s="29">
        <f>SUM((3382/100*103)/100*103)/100*103</f>
        <v>3695.6027140000001</v>
      </c>
      <c r="C21" s="29">
        <f t="shared" ref="C21:M21" si="9">SUM((3382/100*103)/100*103)/100*103</f>
        <v>3695.6027140000001</v>
      </c>
      <c r="D21" s="29">
        <f t="shared" si="9"/>
        <v>3695.6027140000001</v>
      </c>
      <c r="E21" s="29">
        <f t="shared" si="9"/>
        <v>3695.6027140000001</v>
      </c>
      <c r="F21" s="29">
        <f t="shared" si="9"/>
        <v>3695.6027140000001</v>
      </c>
      <c r="G21" s="29">
        <f t="shared" si="9"/>
        <v>3695.6027140000001</v>
      </c>
      <c r="H21" s="29">
        <f t="shared" si="9"/>
        <v>3695.6027140000001</v>
      </c>
      <c r="I21" s="29">
        <f t="shared" si="9"/>
        <v>3695.6027140000001</v>
      </c>
      <c r="J21" s="29">
        <f t="shared" si="9"/>
        <v>3695.6027140000001</v>
      </c>
      <c r="K21" s="29">
        <f t="shared" si="9"/>
        <v>3695.6027140000001</v>
      </c>
      <c r="L21" s="29">
        <f t="shared" si="9"/>
        <v>3695.6027140000001</v>
      </c>
      <c r="M21" s="29">
        <f t="shared" si="9"/>
        <v>3695.6027140000001</v>
      </c>
      <c r="N21" s="33">
        <f>SUM(B21:M21)</f>
        <v>44347.232567999999</v>
      </c>
      <c r="O21" s="13"/>
    </row>
    <row r="22" spans="1:15" x14ac:dyDescent="0.25">
      <c r="A22" s="15" t="s">
        <v>99</v>
      </c>
      <c r="B22" s="29">
        <f>Theatre!B70</f>
        <v>6855</v>
      </c>
      <c r="C22" s="29">
        <f>Theatre!C70</f>
        <v>0</v>
      </c>
      <c r="D22" s="29">
        <f>Theatre!D70</f>
        <v>0</v>
      </c>
      <c r="E22" s="29">
        <f>Theatre!E70</f>
        <v>6855</v>
      </c>
      <c r="F22" s="29">
        <f>Theatre!F70</f>
        <v>0</v>
      </c>
      <c r="G22" s="29">
        <f>Theatre!G70</f>
        <v>0</v>
      </c>
      <c r="H22" s="29">
        <f>Theatre!H70</f>
        <v>6855</v>
      </c>
      <c r="I22" s="29">
        <f>Theatre!I70</f>
        <v>0</v>
      </c>
      <c r="J22" s="29">
        <f>Theatre!J70</f>
        <v>0</v>
      </c>
      <c r="K22" s="29">
        <f>Theatre!K70</f>
        <v>0</v>
      </c>
      <c r="L22" s="29">
        <f>Theatre!L70</f>
        <v>2090.9</v>
      </c>
      <c r="M22" s="29">
        <f>Theatre!M70</f>
        <v>3250</v>
      </c>
      <c r="N22" s="33">
        <f>SUM(B22:M22)</f>
        <v>25905.9</v>
      </c>
      <c r="O22" s="13"/>
    </row>
    <row r="23" spans="1:15" x14ac:dyDescent="0.25">
      <c r="A23" s="15" t="s">
        <v>102</v>
      </c>
      <c r="B23" s="29">
        <f>Bunkhouse!B84</f>
        <v>4963.8099999999995</v>
      </c>
      <c r="C23" s="29">
        <f>Bunkhouse!C84</f>
        <v>3803.8099999999995</v>
      </c>
      <c r="D23" s="29">
        <f>Bunkhouse!D84</f>
        <v>4243.8099999999995</v>
      </c>
      <c r="E23" s="29">
        <f>Bunkhouse!E84</f>
        <v>5539.81</v>
      </c>
      <c r="F23" s="29">
        <f>Bunkhouse!F84</f>
        <v>5539.81</v>
      </c>
      <c r="G23" s="29">
        <f>Bunkhouse!G84</f>
        <v>4243.8099999999995</v>
      </c>
      <c r="H23" s="29">
        <f>Bunkhouse!F84</f>
        <v>5539.81</v>
      </c>
      <c r="I23" s="29">
        <f>Bunkhouse!G84</f>
        <v>4243.8099999999995</v>
      </c>
      <c r="J23" s="29">
        <f>Bunkhouse!H84</f>
        <v>3803.8099999999995</v>
      </c>
      <c r="K23" s="29">
        <f>Bunkhouse!I84</f>
        <v>2803.81</v>
      </c>
      <c r="L23" s="29">
        <f>Bunkhouse!J84</f>
        <v>3235.8099999999995</v>
      </c>
      <c r="M23" s="29">
        <f>Bunkhouse!K84</f>
        <v>2811.81</v>
      </c>
      <c r="N23" s="33">
        <f t="shared" ref="N23:N27" si="10">SUM(B23:M23)</f>
        <v>50773.719999999987</v>
      </c>
      <c r="O23" s="13"/>
    </row>
    <row r="24" spans="1:15" x14ac:dyDescent="0.25">
      <c r="A24" s="15" t="s">
        <v>20</v>
      </c>
      <c r="B24" s="29">
        <f>Cafe!B126</f>
        <v>10784.422500000001</v>
      </c>
      <c r="C24" s="29">
        <f>Cafe!C126</f>
        <v>9670.2520000000004</v>
      </c>
      <c r="D24" s="29">
        <f>Cafe!D126</f>
        <v>8665.8100000000013</v>
      </c>
      <c r="E24" s="29">
        <f>Cafe!E126</f>
        <v>9734.0400000000009</v>
      </c>
      <c r="F24" s="29">
        <f>Cafe!F126</f>
        <v>12580.810000000001</v>
      </c>
      <c r="G24" s="29">
        <f>Cafe!G126</f>
        <v>9826.4000000000015</v>
      </c>
      <c r="H24" s="29">
        <f>Cafe!H126</f>
        <v>9590.2520000000004</v>
      </c>
      <c r="I24" s="29">
        <f>Cafe!I126</f>
        <v>6918.0309999999999</v>
      </c>
      <c r="J24" s="29">
        <f>Cafe!J126</f>
        <v>9406.0910000000003</v>
      </c>
      <c r="K24" s="29">
        <f>Cafe!K126</f>
        <v>6993.8030000000008</v>
      </c>
      <c r="L24" s="29">
        <f>Cafe!L126</f>
        <v>6710.2520000000004</v>
      </c>
      <c r="M24" s="29">
        <f>Cafe!M126</f>
        <v>11398.030999999999</v>
      </c>
      <c r="N24" s="33">
        <f t="shared" si="10"/>
        <v>112278.1945</v>
      </c>
      <c r="O24" s="13"/>
    </row>
    <row r="25" spans="1:15" x14ac:dyDescent="0.25">
      <c r="A25" s="8" t="s">
        <v>153</v>
      </c>
      <c r="B25" s="29">
        <v>1000</v>
      </c>
      <c r="C25" s="29">
        <v>1000</v>
      </c>
      <c r="D25" s="29">
        <v>1000</v>
      </c>
      <c r="E25" s="29">
        <v>1000</v>
      </c>
      <c r="F25" s="29">
        <v>1000</v>
      </c>
      <c r="G25" s="29">
        <v>1000</v>
      </c>
      <c r="H25" s="29">
        <v>1000</v>
      </c>
      <c r="I25" s="29">
        <v>1000</v>
      </c>
      <c r="J25" s="29">
        <v>1000</v>
      </c>
      <c r="K25" s="29">
        <v>1000</v>
      </c>
      <c r="L25" s="29">
        <v>1000</v>
      </c>
      <c r="M25" s="29">
        <v>1000</v>
      </c>
      <c r="N25" s="33">
        <f t="shared" si="10"/>
        <v>12000</v>
      </c>
      <c r="O25" s="13"/>
    </row>
    <row r="26" spans="1:15" x14ac:dyDescent="0.25">
      <c r="A26" s="8" t="s">
        <v>176</v>
      </c>
      <c r="B26" s="29">
        <v>0</v>
      </c>
      <c r="C26" s="29">
        <v>1000</v>
      </c>
      <c r="D26" s="29">
        <v>1500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1000</v>
      </c>
      <c r="M26" s="29">
        <v>1500</v>
      </c>
      <c r="N26" s="33">
        <f t="shared" si="10"/>
        <v>5000</v>
      </c>
      <c r="O26" s="13"/>
    </row>
    <row r="27" spans="1:15" x14ac:dyDescent="0.25">
      <c r="A27" s="8" t="s">
        <v>21</v>
      </c>
      <c r="B27" s="29">
        <f>SUM(B20:B26)</f>
        <v>38865.350508999996</v>
      </c>
      <c r="C27" s="29">
        <f t="shared" ref="C27:M27" si="11">SUM(C20:C26)</f>
        <v>30736.180009</v>
      </c>
      <c r="D27" s="29">
        <f t="shared" si="11"/>
        <v>30671.738009000001</v>
      </c>
      <c r="E27" s="29">
        <f t="shared" si="11"/>
        <v>38390.968009000004</v>
      </c>
      <c r="F27" s="29">
        <f t="shared" si="11"/>
        <v>34382.738009000001</v>
      </c>
      <c r="G27" s="29">
        <f t="shared" si="11"/>
        <v>30332.328009000001</v>
      </c>
      <c r="H27" s="29">
        <f t="shared" si="11"/>
        <v>38247.180009000003</v>
      </c>
      <c r="I27" s="29">
        <f t="shared" si="11"/>
        <v>27423.959008999998</v>
      </c>
      <c r="J27" s="29">
        <f t="shared" si="11"/>
        <v>29472.019009</v>
      </c>
      <c r="K27" s="29">
        <f t="shared" si="11"/>
        <v>26059.731008999999</v>
      </c>
      <c r="L27" s="29">
        <f t="shared" si="11"/>
        <v>29299.080008999998</v>
      </c>
      <c r="M27" s="29">
        <f t="shared" si="11"/>
        <v>35221.959008999998</v>
      </c>
      <c r="N27" s="43">
        <f t="shared" si="10"/>
        <v>389103.23060799995</v>
      </c>
      <c r="O27" s="13"/>
    </row>
    <row r="28" spans="1:15" x14ac:dyDescent="0.25">
      <c r="A28" s="7" t="s">
        <v>24</v>
      </c>
      <c r="B28" s="29">
        <f t="shared" ref="B28:M28" si="12">SUM(B19+B27)</f>
        <v>38865.350508999996</v>
      </c>
      <c r="C28" s="29">
        <f t="shared" si="12"/>
        <v>30736.180009</v>
      </c>
      <c r="D28" s="29">
        <f t="shared" si="12"/>
        <v>30671.738009000001</v>
      </c>
      <c r="E28" s="29">
        <f t="shared" si="12"/>
        <v>38390.968009000004</v>
      </c>
      <c r="F28" s="29">
        <f t="shared" si="12"/>
        <v>34382.738009000001</v>
      </c>
      <c r="G28" s="29">
        <f t="shared" si="12"/>
        <v>30332.328009000001</v>
      </c>
      <c r="H28" s="29">
        <f t="shared" si="12"/>
        <v>38247.180009000003</v>
      </c>
      <c r="I28" s="29">
        <f t="shared" si="12"/>
        <v>27423.959008999998</v>
      </c>
      <c r="J28" s="29">
        <f t="shared" si="12"/>
        <v>29472.019009</v>
      </c>
      <c r="K28" s="29">
        <f t="shared" si="12"/>
        <v>26059.731008999999</v>
      </c>
      <c r="L28" s="29">
        <f t="shared" si="12"/>
        <v>29299.080008999998</v>
      </c>
      <c r="M28" s="29">
        <f t="shared" si="12"/>
        <v>35221.959008999998</v>
      </c>
      <c r="N28" s="43">
        <f>SUM(B28:M28)</f>
        <v>389103.23060799995</v>
      </c>
      <c r="O28" s="13"/>
    </row>
    <row r="29" spans="1:15" x14ac:dyDescent="0.25">
      <c r="A29" s="7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4"/>
      <c r="O29" s="13"/>
    </row>
    <row r="30" spans="1:15" x14ac:dyDescent="0.25">
      <c r="A30" s="7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5"/>
      <c r="O30" s="13"/>
    </row>
    <row r="31" spans="1:15" x14ac:dyDescent="0.25">
      <c r="A31" s="7" t="s">
        <v>25</v>
      </c>
      <c r="B31" s="29">
        <f>'YE 2024'!$M$33</f>
        <v>97736.935636000067</v>
      </c>
      <c r="C31" s="29">
        <f t="shared" ref="C31:M31" si="13">SUM(B33)</f>
        <v>120922.97512700007</v>
      </c>
      <c r="D31" s="29">
        <f t="shared" si="13"/>
        <v>122094.29511800007</v>
      </c>
      <c r="E31" s="29">
        <f t="shared" si="13"/>
        <v>124823.94710900006</v>
      </c>
      <c r="F31" s="29">
        <f t="shared" si="13"/>
        <v>150529.14910000007</v>
      </c>
      <c r="G31" s="29">
        <f t="shared" si="13"/>
        <v>171598.08109100006</v>
      </c>
      <c r="H31" s="29">
        <f t="shared" si="13"/>
        <v>177573.25308200007</v>
      </c>
      <c r="I31" s="29">
        <f t="shared" si="13"/>
        <v>187477.46307300008</v>
      </c>
      <c r="J31" s="29">
        <f t="shared" si="13"/>
        <v>174554.89406400008</v>
      </c>
      <c r="K31" s="29">
        <f t="shared" si="13"/>
        <v>169517.20505500009</v>
      </c>
      <c r="L31" s="29">
        <f t="shared" si="13"/>
        <v>157338.86404600009</v>
      </c>
      <c r="M31" s="29">
        <f t="shared" si="13"/>
        <v>144906.17403700011</v>
      </c>
      <c r="N31" s="33"/>
      <c r="O31" s="13"/>
    </row>
    <row r="32" spans="1:15" x14ac:dyDescent="0.25">
      <c r="A32" s="7" t="s">
        <v>26</v>
      </c>
      <c r="B32" s="29">
        <f t="shared" ref="B32:M32" si="14">SUM(B17-B28)</f>
        <v>23186.03949100001</v>
      </c>
      <c r="C32" s="29">
        <f t="shared" si="14"/>
        <v>1171.3199909999967</v>
      </c>
      <c r="D32" s="29">
        <f t="shared" si="14"/>
        <v>2729.6519909999988</v>
      </c>
      <c r="E32" s="29">
        <f t="shared" si="14"/>
        <v>25705.201991000002</v>
      </c>
      <c r="F32" s="29">
        <f t="shared" si="14"/>
        <v>21068.931991000005</v>
      </c>
      <c r="G32" s="29">
        <f t="shared" si="14"/>
        <v>5975.1719909999993</v>
      </c>
      <c r="H32" s="29">
        <f t="shared" si="14"/>
        <v>9904.2099910000034</v>
      </c>
      <c r="I32" s="29">
        <f t="shared" si="14"/>
        <v>-12922.569008999997</v>
      </c>
      <c r="J32" s="29">
        <f t="shared" si="14"/>
        <v>-5037.6890090000015</v>
      </c>
      <c r="K32" s="29">
        <f t="shared" si="14"/>
        <v>-12178.341008999998</v>
      </c>
      <c r="L32" s="29">
        <f t="shared" si="14"/>
        <v>-12432.690008999998</v>
      </c>
      <c r="M32" s="29">
        <f t="shared" si="14"/>
        <v>-13714.029009000002</v>
      </c>
      <c r="N32" s="34"/>
      <c r="O32" s="13"/>
    </row>
    <row r="33" spans="1:15" x14ac:dyDescent="0.25">
      <c r="A33" s="7" t="s">
        <v>27</v>
      </c>
      <c r="B33" s="29">
        <f>SUM(B31+B32)</f>
        <v>120922.97512700007</v>
      </c>
      <c r="C33" s="29">
        <f t="shared" ref="C33:M33" si="15">SUM(C31+C32)</f>
        <v>122094.29511800007</v>
      </c>
      <c r="D33" s="29">
        <f t="shared" si="15"/>
        <v>124823.94710900006</v>
      </c>
      <c r="E33" s="29">
        <f t="shared" si="15"/>
        <v>150529.14910000007</v>
      </c>
      <c r="F33" s="29">
        <f t="shared" si="15"/>
        <v>171598.08109100006</v>
      </c>
      <c r="G33" s="29">
        <f t="shared" si="15"/>
        <v>177573.25308200007</v>
      </c>
      <c r="H33" s="29">
        <f t="shared" si="15"/>
        <v>187477.46307300008</v>
      </c>
      <c r="I33" s="29">
        <f t="shared" si="15"/>
        <v>174554.89406400008</v>
      </c>
      <c r="J33" s="29">
        <f t="shared" si="15"/>
        <v>169517.20505500009</v>
      </c>
      <c r="K33" s="29">
        <f t="shared" si="15"/>
        <v>157338.86404600009</v>
      </c>
      <c r="L33" s="29">
        <f t="shared" si="15"/>
        <v>144906.17403700011</v>
      </c>
      <c r="M33" s="29">
        <f t="shared" si="15"/>
        <v>131192.14502800012</v>
      </c>
      <c r="N33" s="34"/>
      <c r="O33" s="13"/>
    </row>
    <row r="34" spans="1:15" x14ac:dyDescent="0.25">
      <c r="A34" s="1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12"/>
      <c r="O34" s="10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workbookViewId="0">
      <selection activeCell="C15" sqref="C15:M15"/>
    </sheetView>
  </sheetViews>
  <sheetFormatPr defaultColWidth="9.28515625" defaultRowHeight="15" x14ac:dyDescent="0.25"/>
  <cols>
    <col min="1" max="1" width="27" style="5" customWidth="1"/>
    <col min="2" max="3" width="10.28515625" style="5" bestFit="1" customWidth="1"/>
    <col min="4" max="14" width="9.28515625" style="5"/>
    <col min="15" max="15" width="3.5703125" style="5" customWidth="1"/>
    <col min="16" max="16" width="15.28515625" style="5" customWidth="1"/>
    <col min="17" max="16384" width="9.28515625" style="5"/>
  </cols>
  <sheetData>
    <row r="1" spans="1:16" x14ac:dyDescent="0.25">
      <c r="A1" s="7" t="s">
        <v>195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x14ac:dyDescent="0.25">
      <c r="A2" s="7"/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3</v>
      </c>
      <c r="O2" s="8"/>
    </row>
    <row r="3" spans="1:16" x14ac:dyDescent="0.25">
      <c r="A3" s="9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3"/>
      <c r="O3" s="13"/>
    </row>
    <row r="4" spans="1:16" x14ac:dyDescent="0.25">
      <c r="A4" s="7" t="s">
        <v>17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3"/>
      <c r="O4" s="13"/>
    </row>
    <row r="5" spans="1:16" ht="15.75" thickBot="1" x14ac:dyDescent="0.3">
      <c r="A5" s="8" t="s">
        <v>71</v>
      </c>
      <c r="B5" s="32">
        <v>0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3">
        <f t="shared" ref="N5:N6" si="0">SUM(B5:M5)</f>
        <v>0</v>
      </c>
      <c r="O5" s="8"/>
    </row>
    <row r="6" spans="1:16" x14ac:dyDescent="0.25">
      <c r="A6" s="28" t="s">
        <v>73</v>
      </c>
      <c r="B6" s="29">
        <v>0</v>
      </c>
      <c r="C6" s="29">
        <v>0</v>
      </c>
      <c r="D6" s="29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3">
        <f t="shared" si="0"/>
        <v>0</v>
      </c>
      <c r="O6" s="8"/>
    </row>
    <row r="7" spans="1:16" x14ac:dyDescent="0.25">
      <c r="A7" s="7" t="s">
        <v>18</v>
      </c>
      <c r="B7" s="29">
        <f t="shared" ref="B7:N7" si="1">SUM(B5:B6)</f>
        <v>0</v>
      </c>
      <c r="C7" s="29">
        <f t="shared" si="1"/>
        <v>0</v>
      </c>
      <c r="D7" s="29">
        <f t="shared" si="1"/>
        <v>0</v>
      </c>
      <c r="E7" s="29">
        <f t="shared" si="1"/>
        <v>0</v>
      </c>
      <c r="F7" s="29">
        <f t="shared" si="1"/>
        <v>0</v>
      </c>
      <c r="G7" s="29">
        <f t="shared" si="1"/>
        <v>0</v>
      </c>
      <c r="H7" s="29">
        <f t="shared" si="1"/>
        <v>0</v>
      </c>
      <c r="I7" s="29">
        <f t="shared" si="1"/>
        <v>0</v>
      </c>
      <c r="J7" s="29">
        <f t="shared" si="1"/>
        <v>0</v>
      </c>
      <c r="K7" s="29">
        <f t="shared" si="1"/>
        <v>0</v>
      </c>
      <c r="L7" s="29">
        <f t="shared" si="1"/>
        <v>0</v>
      </c>
      <c r="M7" s="29">
        <f t="shared" si="1"/>
        <v>0</v>
      </c>
      <c r="N7" s="33">
        <f t="shared" si="1"/>
        <v>0</v>
      </c>
      <c r="O7" s="8"/>
      <c r="P7" s="6"/>
    </row>
    <row r="8" spans="1:16" x14ac:dyDescent="0.25">
      <c r="A8" s="7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3"/>
      <c r="O8" s="8"/>
      <c r="P8" s="6"/>
    </row>
    <row r="9" spans="1:16" x14ac:dyDescent="0.25">
      <c r="A9" s="7" t="s">
        <v>19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3"/>
      <c r="O9" s="8"/>
    </row>
    <row r="10" spans="1:16" x14ac:dyDescent="0.25">
      <c r="A10" s="8" t="s">
        <v>20</v>
      </c>
      <c r="B10" s="29">
        <f>Cafe!B142</f>
        <v>14712.5</v>
      </c>
      <c r="C10" s="29">
        <f>Cafe!C142</f>
        <v>12375</v>
      </c>
      <c r="D10" s="29">
        <f>Cafe!D142</f>
        <v>10125</v>
      </c>
      <c r="E10" s="29">
        <f>Cafe!E142</f>
        <v>12312.5</v>
      </c>
      <c r="F10" s="29">
        <f>Cafe!F142</f>
        <v>20187.5</v>
      </c>
      <c r="G10" s="29">
        <f>Cafe!G142</f>
        <v>12375</v>
      </c>
      <c r="H10" s="29">
        <f>Cafe!H142</f>
        <v>12312.5</v>
      </c>
      <c r="I10" s="29">
        <f>Cafe!I142</f>
        <v>5437.5</v>
      </c>
      <c r="J10" s="29">
        <f>Cafe!J142</f>
        <v>14337.5</v>
      </c>
      <c r="K10" s="29">
        <f>Cafe!K142</f>
        <v>5300</v>
      </c>
      <c r="L10" s="29">
        <f>Cafe!L142</f>
        <v>4781.25</v>
      </c>
      <c r="M10" s="29">
        <f>Cafe!M142</f>
        <v>10500</v>
      </c>
      <c r="N10" s="33">
        <f>SUM(B10:M10)</f>
        <v>134756.25</v>
      </c>
      <c r="O10" s="8"/>
    </row>
    <row r="11" spans="1:16" x14ac:dyDescent="0.25">
      <c r="A11" s="15" t="s">
        <v>99</v>
      </c>
      <c r="B11" s="29">
        <f>Theatre!B65</f>
        <v>18562.510000000002</v>
      </c>
      <c r="C11" s="29">
        <f>Theatre!C65</f>
        <v>2218.62</v>
      </c>
      <c r="D11" s="29">
        <f>Theatre!D65</f>
        <v>1562.51</v>
      </c>
      <c r="E11" s="29">
        <f>Theatre!E65</f>
        <v>17147.29</v>
      </c>
      <c r="F11" s="29">
        <f>Theatre!F65</f>
        <v>765.29</v>
      </c>
      <c r="G11" s="29">
        <f>Theatre!G65</f>
        <v>2218.62</v>
      </c>
      <c r="H11" s="29">
        <f>Theatre!H65</f>
        <v>18562.510000000002</v>
      </c>
      <c r="I11" s="29">
        <f>Theatre!I65</f>
        <v>1562.51</v>
      </c>
      <c r="J11" s="29">
        <f>Theatre!J65</f>
        <v>2075.4499999999998</v>
      </c>
      <c r="K11" s="29">
        <f>Theatre!K65</f>
        <v>1562.51</v>
      </c>
      <c r="L11" s="29">
        <f>Theatre!L65</f>
        <v>4937.51</v>
      </c>
      <c r="M11" s="29">
        <f>Theatre!M65</f>
        <v>2199.0500000000002</v>
      </c>
      <c r="N11" s="33">
        <f>SUM(B11:M11)</f>
        <v>73374.38</v>
      </c>
      <c r="O11" s="8"/>
    </row>
    <row r="12" spans="1:16" x14ac:dyDescent="0.25">
      <c r="A12" s="15" t="s">
        <v>100</v>
      </c>
      <c r="B12" s="29">
        <f>'Soft Play'!B42</f>
        <v>3130</v>
      </c>
      <c r="C12" s="29">
        <f>'Soft Play'!C42</f>
        <v>3130</v>
      </c>
      <c r="D12" s="29">
        <f>'Soft Play'!D42</f>
        <v>3130</v>
      </c>
      <c r="E12" s="29">
        <f>'Soft Play'!E42</f>
        <v>3230</v>
      </c>
      <c r="F12" s="29">
        <f>'Soft Play'!F42</f>
        <v>3230</v>
      </c>
      <c r="G12" s="29">
        <f>'Soft Play'!G42</f>
        <v>3130</v>
      </c>
      <c r="H12" s="29">
        <f>'Soft Play'!H42</f>
        <v>3230</v>
      </c>
      <c r="I12" s="29">
        <f>'Soft Play'!I42</f>
        <v>3130</v>
      </c>
      <c r="J12" s="29">
        <f>'Soft Play'!J42</f>
        <v>2530</v>
      </c>
      <c r="K12" s="29">
        <f>'Soft Play'!K42</f>
        <v>2530</v>
      </c>
      <c r="L12" s="29">
        <f>'Soft Play'!L42</f>
        <v>2930</v>
      </c>
      <c r="M12" s="29">
        <f>'Soft Play'!M42</f>
        <v>3230</v>
      </c>
      <c r="N12" s="33">
        <f t="shared" ref="N12:N15" si="2">SUM(B12:M12)</f>
        <v>36560</v>
      </c>
      <c r="O12" s="8"/>
    </row>
    <row r="13" spans="1:16" x14ac:dyDescent="0.25">
      <c r="A13" s="15" t="s">
        <v>102</v>
      </c>
      <c r="B13" s="29">
        <f>Bunkhouse!B90</f>
        <v>24600</v>
      </c>
      <c r="C13" s="29">
        <f>Bunkhouse!C90</f>
        <v>12710</v>
      </c>
      <c r="D13" s="29">
        <f>Bunkhouse!D90</f>
        <v>17220</v>
      </c>
      <c r="E13" s="29">
        <f>Bunkhouse!E90</f>
        <v>30504</v>
      </c>
      <c r="F13" s="29">
        <f>Bunkhouse!F90</f>
        <v>30504</v>
      </c>
      <c r="G13" s="29">
        <f>Bunkhouse!G90</f>
        <v>17220</v>
      </c>
      <c r="H13" s="29">
        <f>Bunkhouse!H90</f>
        <v>12710</v>
      </c>
      <c r="I13" s="29">
        <f>Bunkhouse!I90</f>
        <v>2460</v>
      </c>
      <c r="J13" s="29">
        <f>Bunkhouse!J90</f>
        <v>6888</v>
      </c>
      <c r="K13" s="29">
        <f>Bunkhouse!K90</f>
        <v>2542</v>
      </c>
      <c r="L13" s="29">
        <f>Bunkhouse!L90</f>
        <v>2296</v>
      </c>
      <c r="M13" s="29">
        <f>Bunkhouse!M90</f>
        <v>3813</v>
      </c>
      <c r="N13" s="33">
        <f t="shared" si="2"/>
        <v>163467</v>
      </c>
      <c r="O13" s="8"/>
    </row>
    <row r="14" spans="1:16" x14ac:dyDescent="0.25">
      <c r="A14" s="15" t="s">
        <v>174</v>
      </c>
      <c r="B14" s="29">
        <f>SUM(1408)/100*103</f>
        <v>1450.24</v>
      </c>
      <c r="C14" s="29">
        <f t="shared" ref="C14:M14" si="3">SUM(1408)/100*103</f>
        <v>1450.24</v>
      </c>
      <c r="D14" s="29">
        <f t="shared" si="3"/>
        <v>1450.24</v>
      </c>
      <c r="E14" s="29">
        <f t="shared" si="3"/>
        <v>1450.24</v>
      </c>
      <c r="F14" s="29">
        <f t="shared" si="3"/>
        <v>1450.24</v>
      </c>
      <c r="G14" s="29">
        <f t="shared" si="3"/>
        <v>1450.24</v>
      </c>
      <c r="H14" s="29">
        <f t="shared" si="3"/>
        <v>1450.24</v>
      </c>
      <c r="I14" s="29">
        <f t="shared" si="3"/>
        <v>1450.24</v>
      </c>
      <c r="J14" s="29">
        <f t="shared" si="3"/>
        <v>1450.24</v>
      </c>
      <c r="K14" s="29">
        <f t="shared" si="3"/>
        <v>1450.24</v>
      </c>
      <c r="L14" s="29">
        <f t="shared" si="3"/>
        <v>1450.24</v>
      </c>
      <c r="M14" s="29">
        <f t="shared" si="3"/>
        <v>1450.24</v>
      </c>
      <c r="N14" s="33">
        <f t="shared" si="2"/>
        <v>17402.88</v>
      </c>
      <c r="O14" s="8"/>
    </row>
    <row r="15" spans="1:16" x14ac:dyDescent="0.25">
      <c r="A15" s="8" t="s">
        <v>189</v>
      </c>
      <c r="B15" s="29">
        <f>SUM(751/100*103)</f>
        <v>773.53</v>
      </c>
      <c r="C15" s="29">
        <f t="shared" ref="C15:M15" si="4">SUM(751/100*103)</f>
        <v>773.53</v>
      </c>
      <c r="D15" s="29">
        <f t="shared" si="4"/>
        <v>773.53</v>
      </c>
      <c r="E15" s="29">
        <f t="shared" si="4"/>
        <v>773.53</v>
      </c>
      <c r="F15" s="29">
        <f t="shared" si="4"/>
        <v>773.53</v>
      </c>
      <c r="G15" s="29">
        <f t="shared" si="4"/>
        <v>773.53</v>
      </c>
      <c r="H15" s="29">
        <f t="shared" si="4"/>
        <v>773.53</v>
      </c>
      <c r="I15" s="29">
        <f t="shared" si="4"/>
        <v>773.53</v>
      </c>
      <c r="J15" s="29">
        <f t="shared" si="4"/>
        <v>773.53</v>
      </c>
      <c r="K15" s="29">
        <f t="shared" si="4"/>
        <v>773.53</v>
      </c>
      <c r="L15" s="29">
        <f t="shared" si="4"/>
        <v>773.53</v>
      </c>
      <c r="M15" s="29">
        <f t="shared" si="4"/>
        <v>773.53</v>
      </c>
      <c r="N15" s="33">
        <f t="shared" si="2"/>
        <v>9282.3599999999988</v>
      </c>
      <c r="O15" s="13"/>
    </row>
    <row r="16" spans="1:16" x14ac:dyDescent="0.25">
      <c r="A16" s="8" t="s">
        <v>21</v>
      </c>
      <c r="B16" s="31">
        <f t="shared" ref="B16:M16" si="5">SUM(B10:B15)</f>
        <v>63228.78</v>
      </c>
      <c r="C16" s="31">
        <f t="shared" si="5"/>
        <v>32657.39</v>
      </c>
      <c r="D16" s="31">
        <f t="shared" si="5"/>
        <v>34261.279999999999</v>
      </c>
      <c r="E16" s="31">
        <f t="shared" si="5"/>
        <v>65417.56</v>
      </c>
      <c r="F16" s="31">
        <f t="shared" si="5"/>
        <v>56910.559999999998</v>
      </c>
      <c r="G16" s="31">
        <f t="shared" si="5"/>
        <v>37167.389999999992</v>
      </c>
      <c r="H16" s="31">
        <f t="shared" si="5"/>
        <v>49038.78</v>
      </c>
      <c r="I16" s="31">
        <f t="shared" si="5"/>
        <v>14813.78</v>
      </c>
      <c r="J16" s="31">
        <f t="shared" si="5"/>
        <v>28054.720000000001</v>
      </c>
      <c r="K16" s="31">
        <f t="shared" si="5"/>
        <v>14158.28</v>
      </c>
      <c r="L16" s="31">
        <f t="shared" si="5"/>
        <v>17168.53</v>
      </c>
      <c r="M16" s="31">
        <f t="shared" si="5"/>
        <v>21965.82</v>
      </c>
      <c r="N16" s="43">
        <f>SUM(B16:M16)</f>
        <v>434842.87000000005</v>
      </c>
      <c r="O16" s="13"/>
    </row>
    <row r="17" spans="1:15" x14ac:dyDescent="0.25">
      <c r="A17" s="7" t="s">
        <v>22</v>
      </c>
      <c r="B17" s="29">
        <f t="shared" ref="B17:N17" si="6">SUM(B7+B16)</f>
        <v>63228.78</v>
      </c>
      <c r="C17" s="29">
        <f t="shared" si="6"/>
        <v>32657.39</v>
      </c>
      <c r="D17" s="29">
        <f t="shared" si="6"/>
        <v>34261.279999999999</v>
      </c>
      <c r="E17" s="29">
        <f t="shared" si="6"/>
        <v>65417.56</v>
      </c>
      <c r="F17" s="29">
        <f t="shared" si="6"/>
        <v>56910.559999999998</v>
      </c>
      <c r="G17" s="29">
        <f t="shared" si="6"/>
        <v>37167.389999999992</v>
      </c>
      <c r="H17" s="29">
        <f t="shared" si="6"/>
        <v>49038.78</v>
      </c>
      <c r="I17" s="29">
        <f t="shared" si="6"/>
        <v>14813.78</v>
      </c>
      <c r="J17" s="29">
        <f t="shared" si="6"/>
        <v>28054.720000000001</v>
      </c>
      <c r="K17" s="29">
        <f t="shared" si="6"/>
        <v>14158.28</v>
      </c>
      <c r="L17" s="29">
        <f t="shared" si="6"/>
        <v>17168.53</v>
      </c>
      <c r="M17" s="29">
        <f t="shared" si="6"/>
        <v>21965.82</v>
      </c>
      <c r="N17" s="43">
        <f t="shared" si="6"/>
        <v>434842.87000000005</v>
      </c>
      <c r="O17" s="13"/>
    </row>
    <row r="18" spans="1:15" x14ac:dyDescent="0.25">
      <c r="A18" s="7" t="s">
        <v>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3"/>
      <c r="O18" s="13"/>
    </row>
    <row r="19" spans="1:15" x14ac:dyDescent="0.25">
      <c r="A19" s="8" t="s">
        <v>72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3">
        <f t="shared" ref="N19:N20" si="7">SUM(B19:M19)</f>
        <v>0</v>
      </c>
      <c r="O19" s="13"/>
    </row>
    <row r="20" spans="1:15" x14ac:dyDescent="0.25">
      <c r="A20" s="8" t="s">
        <v>28</v>
      </c>
      <c r="B20" s="29">
        <f>SUM((11567/100*103))</f>
        <v>11914.01</v>
      </c>
      <c r="C20" s="29">
        <f t="shared" ref="C20:M20" si="8">SUM((11567/100*103))</f>
        <v>11914.01</v>
      </c>
      <c r="D20" s="29">
        <f t="shared" si="8"/>
        <v>11914.01</v>
      </c>
      <c r="E20" s="29">
        <f t="shared" si="8"/>
        <v>11914.01</v>
      </c>
      <c r="F20" s="29">
        <f t="shared" si="8"/>
        <v>11914.01</v>
      </c>
      <c r="G20" s="29">
        <f t="shared" si="8"/>
        <v>11914.01</v>
      </c>
      <c r="H20" s="29">
        <f t="shared" si="8"/>
        <v>11914.01</v>
      </c>
      <c r="I20" s="29">
        <f t="shared" si="8"/>
        <v>11914.01</v>
      </c>
      <c r="J20" s="29">
        <f t="shared" si="8"/>
        <v>11914.01</v>
      </c>
      <c r="K20" s="29">
        <f t="shared" si="8"/>
        <v>11914.01</v>
      </c>
      <c r="L20" s="29">
        <f t="shared" si="8"/>
        <v>11914.01</v>
      </c>
      <c r="M20" s="29">
        <f t="shared" si="8"/>
        <v>11914.01</v>
      </c>
      <c r="N20" s="33">
        <f t="shared" si="7"/>
        <v>142968.11999999997</v>
      </c>
      <c r="O20" s="13"/>
    </row>
    <row r="21" spans="1:15" x14ac:dyDescent="0.25">
      <c r="A21" s="8" t="s">
        <v>152</v>
      </c>
      <c r="B21" s="29">
        <f>SUM((3696/100*103))</f>
        <v>3806.88</v>
      </c>
      <c r="C21" s="29">
        <f t="shared" ref="C21:M21" si="9">SUM((3696/100*103))</f>
        <v>3806.88</v>
      </c>
      <c r="D21" s="29">
        <f t="shared" si="9"/>
        <v>3806.88</v>
      </c>
      <c r="E21" s="29">
        <f t="shared" si="9"/>
        <v>3806.88</v>
      </c>
      <c r="F21" s="29">
        <f t="shared" si="9"/>
        <v>3806.88</v>
      </c>
      <c r="G21" s="29">
        <f t="shared" si="9"/>
        <v>3806.88</v>
      </c>
      <c r="H21" s="29">
        <f t="shared" si="9"/>
        <v>3806.88</v>
      </c>
      <c r="I21" s="29">
        <f t="shared" si="9"/>
        <v>3806.88</v>
      </c>
      <c r="J21" s="29">
        <f t="shared" si="9"/>
        <v>3806.88</v>
      </c>
      <c r="K21" s="29">
        <f t="shared" si="9"/>
        <v>3806.88</v>
      </c>
      <c r="L21" s="29">
        <f t="shared" si="9"/>
        <v>3806.88</v>
      </c>
      <c r="M21" s="29">
        <f t="shared" si="9"/>
        <v>3806.88</v>
      </c>
      <c r="N21" s="33">
        <f>SUM(B21:M21)</f>
        <v>45682.559999999998</v>
      </c>
      <c r="O21" s="13"/>
    </row>
    <row r="22" spans="1:15" x14ac:dyDescent="0.25">
      <c r="A22" s="15" t="s">
        <v>99</v>
      </c>
      <c r="B22" s="29">
        <f>Theatre!B70</f>
        <v>6855</v>
      </c>
      <c r="C22" s="29">
        <f>Theatre!C70</f>
        <v>0</v>
      </c>
      <c r="D22" s="29">
        <f>Theatre!D70</f>
        <v>0</v>
      </c>
      <c r="E22" s="29">
        <f>Theatre!E70</f>
        <v>6855</v>
      </c>
      <c r="F22" s="29">
        <f>Theatre!F70</f>
        <v>0</v>
      </c>
      <c r="G22" s="29">
        <f>Theatre!G70</f>
        <v>0</v>
      </c>
      <c r="H22" s="29">
        <f>Theatre!H70</f>
        <v>6855</v>
      </c>
      <c r="I22" s="29">
        <f>Theatre!I70</f>
        <v>0</v>
      </c>
      <c r="J22" s="29">
        <f>Theatre!J70</f>
        <v>0</v>
      </c>
      <c r="K22" s="29">
        <f>Theatre!K70</f>
        <v>0</v>
      </c>
      <c r="L22" s="29">
        <f>Theatre!L70</f>
        <v>2090.9</v>
      </c>
      <c r="M22" s="29">
        <f>Theatre!M70</f>
        <v>3250</v>
      </c>
      <c r="N22" s="33">
        <f>SUM(B22:M22)</f>
        <v>25905.9</v>
      </c>
      <c r="O22" s="13"/>
    </row>
    <row r="23" spans="1:15" x14ac:dyDescent="0.25">
      <c r="A23" s="15" t="s">
        <v>102</v>
      </c>
      <c r="B23" s="29">
        <f>Bunkhouse!$B$100</f>
        <v>5136.92</v>
      </c>
      <c r="C23" s="29">
        <f>Bunkhouse!C100</f>
        <v>3947.9199999999996</v>
      </c>
      <c r="D23" s="29">
        <f>Bunkhouse!D100</f>
        <v>4398.92</v>
      </c>
      <c r="E23" s="29">
        <f>Bunkhouse!E100</f>
        <v>5727.3200000000006</v>
      </c>
      <c r="F23" s="29">
        <f>Bunkhouse!F100</f>
        <v>5727.3200000000006</v>
      </c>
      <c r="G23" s="29">
        <f>Bunkhouse!G100</f>
        <v>4398.92</v>
      </c>
      <c r="H23" s="29">
        <f>Bunkhouse!H100</f>
        <v>3947.9199999999996</v>
      </c>
      <c r="I23" s="29">
        <f>Bunkhouse!I100</f>
        <v>2922.92</v>
      </c>
      <c r="J23" s="29">
        <f>Bunkhouse!J100</f>
        <v>3365.72</v>
      </c>
      <c r="K23" s="29">
        <f>Bunkhouse!K100</f>
        <v>2931.12</v>
      </c>
      <c r="L23" s="29">
        <f>Bunkhouse!L100</f>
        <v>2906.5200000000004</v>
      </c>
      <c r="M23" s="29">
        <f>Bunkhouse!M100</f>
        <v>5058.22</v>
      </c>
      <c r="N23" s="33">
        <f t="shared" ref="N23:N27" si="10">SUM(B23:M23)</f>
        <v>50469.740000000005</v>
      </c>
      <c r="O23" s="13"/>
    </row>
    <row r="24" spans="1:15" x14ac:dyDescent="0.25">
      <c r="A24" s="15" t="s">
        <v>20</v>
      </c>
      <c r="B24" s="29">
        <f>Cafe!B153</f>
        <v>11142.750875</v>
      </c>
      <c r="C24" s="29">
        <f>Cafe!C153</f>
        <v>9966.5552599999992</v>
      </c>
      <c r="D24" s="29">
        <f>Cafe!D153</f>
        <v>8958.98</v>
      </c>
      <c r="E24" s="29">
        <f>Cafe!E153</f>
        <v>10089.419999999998</v>
      </c>
      <c r="F24" s="29">
        <f>Cafe!F153</f>
        <v>12983.98</v>
      </c>
      <c r="G24" s="29">
        <f>Cafe!G153</f>
        <v>10127.81</v>
      </c>
      <c r="H24" s="29">
        <f>Cafe!H153</f>
        <v>9941.5552599999992</v>
      </c>
      <c r="I24" s="29">
        <f>Cafe!I153</f>
        <v>7137.7676299999994</v>
      </c>
      <c r="J24" s="29">
        <f>Cafe!J153</f>
        <v>10911.779999999999</v>
      </c>
      <c r="K24" s="29">
        <f>Cafe!K153</f>
        <v>7202.0199999999995</v>
      </c>
      <c r="L24" s="29">
        <f>Cafe!L153</f>
        <v>6928.5999999999995</v>
      </c>
      <c r="M24" s="29">
        <f>Cafe!M153</f>
        <v>11912.54</v>
      </c>
      <c r="N24" s="33">
        <f t="shared" si="10"/>
        <v>117303.75902500001</v>
      </c>
      <c r="O24" s="13"/>
    </row>
    <row r="25" spans="1:15" x14ac:dyDescent="0.25">
      <c r="A25" s="8" t="s">
        <v>153</v>
      </c>
      <c r="B25" s="29">
        <v>1000</v>
      </c>
      <c r="C25" s="29">
        <v>1000</v>
      </c>
      <c r="D25" s="29">
        <v>1000</v>
      </c>
      <c r="E25" s="29">
        <v>1000</v>
      </c>
      <c r="F25" s="29">
        <v>1000</v>
      </c>
      <c r="G25" s="29">
        <v>1000</v>
      </c>
      <c r="H25" s="29">
        <v>1000</v>
      </c>
      <c r="I25" s="29">
        <v>1000</v>
      </c>
      <c r="J25" s="29">
        <v>1000</v>
      </c>
      <c r="K25" s="29">
        <v>1000</v>
      </c>
      <c r="L25" s="29">
        <v>1000</v>
      </c>
      <c r="M25" s="29">
        <v>1000</v>
      </c>
      <c r="N25" s="33">
        <f t="shared" si="10"/>
        <v>12000</v>
      </c>
      <c r="O25" s="13"/>
    </row>
    <row r="26" spans="1:15" x14ac:dyDescent="0.25">
      <c r="A26" s="8" t="s">
        <v>176</v>
      </c>
      <c r="B26" s="29">
        <v>0</v>
      </c>
      <c r="C26" s="29">
        <v>1000</v>
      </c>
      <c r="D26" s="29">
        <v>1500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1000</v>
      </c>
      <c r="M26" s="29">
        <v>1500</v>
      </c>
      <c r="N26" s="33">
        <f t="shared" si="10"/>
        <v>5000</v>
      </c>
      <c r="O26" s="13"/>
    </row>
    <row r="27" spans="1:15" x14ac:dyDescent="0.25">
      <c r="A27" s="8" t="s">
        <v>21</v>
      </c>
      <c r="B27" s="29">
        <f>SUM(B20:B26)</f>
        <v>39855.560874999996</v>
      </c>
      <c r="C27" s="29">
        <f t="shared" ref="C27:M27" si="11">SUM(C20:C26)</f>
        <v>31635.365259999999</v>
      </c>
      <c r="D27" s="29">
        <f t="shared" si="11"/>
        <v>31578.789999999997</v>
      </c>
      <c r="E27" s="29">
        <f t="shared" si="11"/>
        <v>39392.629999999997</v>
      </c>
      <c r="F27" s="29">
        <f t="shared" si="11"/>
        <v>35432.19</v>
      </c>
      <c r="G27" s="29">
        <f t="shared" si="11"/>
        <v>31247.619999999995</v>
      </c>
      <c r="H27" s="29">
        <f t="shared" si="11"/>
        <v>37465.365259999999</v>
      </c>
      <c r="I27" s="29">
        <f t="shared" si="11"/>
        <v>26781.577629999996</v>
      </c>
      <c r="J27" s="29">
        <f t="shared" si="11"/>
        <v>30998.39</v>
      </c>
      <c r="K27" s="29">
        <f t="shared" si="11"/>
        <v>26854.03</v>
      </c>
      <c r="L27" s="29">
        <f t="shared" si="11"/>
        <v>29646.91</v>
      </c>
      <c r="M27" s="29">
        <f t="shared" si="11"/>
        <v>38441.65</v>
      </c>
      <c r="N27" s="43">
        <f t="shared" si="10"/>
        <v>399330.07902499993</v>
      </c>
      <c r="O27" s="13"/>
    </row>
    <row r="28" spans="1:15" x14ac:dyDescent="0.25">
      <c r="A28" s="7" t="s">
        <v>24</v>
      </c>
      <c r="B28" s="29">
        <f t="shared" ref="B28:M28" si="12">SUM(B19+B27)</f>
        <v>39855.560874999996</v>
      </c>
      <c r="C28" s="29">
        <f t="shared" si="12"/>
        <v>31635.365259999999</v>
      </c>
      <c r="D28" s="29">
        <f t="shared" si="12"/>
        <v>31578.789999999997</v>
      </c>
      <c r="E28" s="29">
        <f t="shared" si="12"/>
        <v>39392.629999999997</v>
      </c>
      <c r="F28" s="29">
        <f t="shared" si="12"/>
        <v>35432.19</v>
      </c>
      <c r="G28" s="29">
        <f t="shared" si="12"/>
        <v>31247.619999999995</v>
      </c>
      <c r="H28" s="29">
        <f t="shared" si="12"/>
        <v>37465.365259999999</v>
      </c>
      <c r="I28" s="29">
        <f t="shared" si="12"/>
        <v>26781.577629999996</v>
      </c>
      <c r="J28" s="29">
        <f t="shared" si="12"/>
        <v>30998.39</v>
      </c>
      <c r="K28" s="29">
        <f t="shared" si="12"/>
        <v>26854.03</v>
      </c>
      <c r="L28" s="29">
        <f t="shared" si="12"/>
        <v>29646.91</v>
      </c>
      <c r="M28" s="29">
        <f t="shared" si="12"/>
        <v>38441.65</v>
      </c>
      <c r="N28" s="43">
        <f>SUM(B28:M28)</f>
        <v>399330.07902499993</v>
      </c>
      <c r="O28" s="13"/>
    </row>
    <row r="29" spans="1:15" x14ac:dyDescent="0.25">
      <c r="A29" s="7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4"/>
      <c r="O29" s="13"/>
    </row>
    <row r="30" spans="1:15" x14ac:dyDescent="0.25">
      <c r="A30" s="7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5"/>
      <c r="O30" s="13"/>
    </row>
    <row r="31" spans="1:15" x14ac:dyDescent="0.25">
      <c r="A31" s="7" t="s">
        <v>25</v>
      </c>
      <c r="B31" s="29">
        <f>'YE 2025'!$M$33</f>
        <v>131192.14502800012</v>
      </c>
      <c r="C31" s="29">
        <f t="shared" ref="C31:M31" si="13">SUM(B33)</f>
        <v>154565.36415300012</v>
      </c>
      <c r="D31" s="29">
        <f t="shared" si="13"/>
        <v>155587.38889300011</v>
      </c>
      <c r="E31" s="29">
        <f t="shared" si="13"/>
        <v>158269.8788930001</v>
      </c>
      <c r="F31" s="29">
        <f t="shared" si="13"/>
        <v>184294.8088930001</v>
      </c>
      <c r="G31" s="29">
        <f t="shared" si="13"/>
        <v>205773.17889300009</v>
      </c>
      <c r="H31" s="29">
        <f t="shared" si="13"/>
        <v>211692.94889300008</v>
      </c>
      <c r="I31" s="29">
        <f t="shared" si="13"/>
        <v>223266.36363300009</v>
      </c>
      <c r="J31" s="29">
        <f t="shared" si="13"/>
        <v>211298.5660030001</v>
      </c>
      <c r="K31" s="29">
        <f t="shared" si="13"/>
        <v>208354.89600300009</v>
      </c>
      <c r="L31" s="29">
        <f t="shared" si="13"/>
        <v>195659.14600300009</v>
      </c>
      <c r="M31" s="29">
        <f t="shared" si="13"/>
        <v>183180.76600300008</v>
      </c>
      <c r="N31" s="33"/>
      <c r="O31" s="13"/>
    </row>
    <row r="32" spans="1:15" x14ac:dyDescent="0.25">
      <c r="A32" s="7" t="s">
        <v>26</v>
      </c>
      <c r="B32" s="29">
        <f t="shared" ref="B32:M32" si="14">SUM(B17-B28)</f>
        <v>23373.219125000003</v>
      </c>
      <c r="C32" s="29">
        <f t="shared" si="14"/>
        <v>1022.0247400000007</v>
      </c>
      <c r="D32" s="29">
        <f t="shared" si="14"/>
        <v>2682.4900000000016</v>
      </c>
      <c r="E32" s="29">
        <f t="shared" si="14"/>
        <v>26024.93</v>
      </c>
      <c r="F32" s="29">
        <f t="shared" si="14"/>
        <v>21478.369999999995</v>
      </c>
      <c r="G32" s="29">
        <f t="shared" si="14"/>
        <v>5919.7699999999968</v>
      </c>
      <c r="H32" s="29">
        <f t="shared" si="14"/>
        <v>11573.41474</v>
      </c>
      <c r="I32" s="29">
        <f t="shared" si="14"/>
        <v>-11967.797629999995</v>
      </c>
      <c r="J32" s="29">
        <f t="shared" si="14"/>
        <v>-2943.6699999999983</v>
      </c>
      <c r="K32" s="29">
        <f t="shared" si="14"/>
        <v>-12695.749999999998</v>
      </c>
      <c r="L32" s="29">
        <f t="shared" si="14"/>
        <v>-12478.380000000001</v>
      </c>
      <c r="M32" s="29">
        <f t="shared" si="14"/>
        <v>-16475.830000000002</v>
      </c>
      <c r="N32" s="34"/>
      <c r="O32" s="13"/>
    </row>
    <row r="33" spans="1:15" x14ac:dyDescent="0.25">
      <c r="A33" s="7" t="s">
        <v>27</v>
      </c>
      <c r="B33" s="29">
        <f>SUM(B31+B32)</f>
        <v>154565.36415300012</v>
      </c>
      <c r="C33" s="29">
        <f t="shared" ref="C33:M33" si="15">SUM(C31+C32)</f>
        <v>155587.38889300011</v>
      </c>
      <c r="D33" s="29">
        <f t="shared" si="15"/>
        <v>158269.8788930001</v>
      </c>
      <c r="E33" s="29">
        <f t="shared" si="15"/>
        <v>184294.8088930001</v>
      </c>
      <c r="F33" s="29">
        <f t="shared" si="15"/>
        <v>205773.17889300009</v>
      </c>
      <c r="G33" s="29">
        <f t="shared" si="15"/>
        <v>211692.94889300008</v>
      </c>
      <c r="H33" s="29">
        <f t="shared" si="15"/>
        <v>223266.36363300009</v>
      </c>
      <c r="I33" s="29">
        <f t="shared" si="15"/>
        <v>211298.5660030001</v>
      </c>
      <c r="J33" s="29">
        <f t="shared" si="15"/>
        <v>208354.89600300009</v>
      </c>
      <c r="K33" s="29">
        <f t="shared" si="15"/>
        <v>195659.14600300009</v>
      </c>
      <c r="L33" s="29">
        <f t="shared" si="15"/>
        <v>183180.76600300008</v>
      </c>
      <c r="M33" s="29">
        <f t="shared" si="15"/>
        <v>166704.93600300007</v>
      </c>
      <c r="N33" s="34"/>
      <c r="O33" s="13"/>
    </row>
    <row r="34" spans="1:15" x14ac:dyDescent="0.25">
      <c r="A34" s="1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12"/>
      <c r="O34" s="10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Inc-Exp Summary</vt:lpstr>
      <vt:lpstr>YE 2019</vt:lpstr>
      <vt:lpstr>YE 2020</vt:lpstr>
      <vt:lpstr>YE 2021</vt:lpstr>
      <vt:lpstr>YE 2022</vt:lpstr>
      <vt:lpstr>YE 2023</vt:lpstr>
      <vt:lpstr>YE 2024</vt:lpstr>
      <vt:lpstr>YE 2025</vt:lpstr>
      <vt:lpstr>YE 2026</vt:lpstr>
      <vt:lpstr>YE 2027</vt:lpstr>
      <vt:lpstr>YE 2028</vt:lpstr>
      <vt:lpstr>Staffing</vt:lpstr>
      <vt:lpstr>Rev. Costs</vt:lpstr>
      <vt:lpstr>Cafe</vt:lpstr>
      <vt:lpstr>Theatre</vt:lpstr>
      <vt:lpstr>Soft Play</vt:lpstr>
      <vt:lpstr>Bunkhouse</vt:lpstr>
      <vt:lpstr>Recharging Income</vt:lpstr>
      <vt:lpstr>Grants</vt:lpstr>
      <vt:lpstr>Capital Costs</vt:lpstr>
      <vt:lpstr>Set-Up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Bennett</dc:creator>
  <cp:lastModifiedBy>Windows User</cp:lastModifiedBy>
  <dcterms:created xsi:type="dcterms:W3CDTF">2017-02-28T11:30:32Z</dcterms:created>
  <dcterms:modified xsi:type="dcterms:W3CDTF">2018-10-16T14:39:46Z</dcterms:modified>
</cp:coreProperties>
</file>